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EFF" sheetId="1" state="visible" r:id="rId1"/>
    <sheet xmlns:r="http://schemas.openxmlformats.org/officeDocument/2006/relationships" name="Supuestos" sheetId="2" state="visible" r:id="rId2"/>
    <sheet xmlns:r="http://schemas.openxmlformats.org/officeDocument/2006/relationships" name="Valorización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0">
    <font>
      <name val="Calibri"/>
      <family val="2"/>
      <color theme="1"/>
      <sz val="11"/>
      <scheme val="minor"/>
    </font>
    <font>
      <name val="Source Serif 4"/>
      <b val="1"/>
      <color rgb="000A0D12"/>
      <sz val="14"/>
    </font>
    <font>
      <name val="Aptos Narrow"/>
      <color rgb="007C8597"/>
      <sz val="9"/>
    </font>
    <font>
      <name val="Aptos Narrow"/>
      <b val="1"/>
      <color rgb="000A0D12"/>
      <sz val="11"/>
    </font>
    <font>
      <name val="Aptos Narrow"/>
      <b val="1"/>
      <color rgb="000A0D12"/>
      <sz val="10"/>
    </font>
    <font>
      <name val="Aptos Narrow"/>
      <color rgb="003D4351"/>
      <sz val="10"/>
    </font>
    <font>
      <name val="Aptos Narrow"/>
      <color rgb="000A0D12"/>
      <sz val="11"/>
    </font>
    <font>
      <name val="Aptos Narrow"/>
      <color rgb="00B8860B"/>
      <sz val="11"/>
    </font>
    <font>
      <name val="Aptos Narrow"/>
      <color rgb="00185FA5"/>
      <sz val="11"/>
    </font>
    <font>
      <name val="Aptos Narrow"/>
      <color rgb="00007828"/>
      <sz val="11"/>
    </font>
  </fonts>
  <fills count="6">
    <fill>
      <patternFill/>
    </fill>
    <fill>
      <patternFill patternType="gray125"/>
    </fill>
    <fill>
      <patternFill patternType="solid">
        <fgColor rgb="00EFEBE3"/>
      </patternFill>
    </fill>
    <fill>
      <patternFill patternType="solid">
        <fgColor rgb="00ECEEF1"/>
      </patternFill>
    </fill>
    <fill>
      <patternFill patternType="solid">
        <fgColor rgb="00FBF9F4"/>
      </patternFill>
    </fill>
    <fill>
      <patternFill patternType="solid">
        <fgColor rgb="00EBF3FB"/>
      </patternFill>
    </fill>
  </fills>
  <borders count="2">
    <border>
      <left/>
      <right/>
      <top/>
      <bottom/>
      <diagonal/>
    </border>
    <border>
      <bottom style="medium">
        <color rgb="003D4351"/>
      </bottom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2" fillId="0" borderId="0" applyAlignment="1" pivotButton="0" quotePrefix="0" xfId="0">
      <alignment horizontal="center" vertical="center"/>
    </xf>
    <xf numFmtId="0" fontId="3" fillId="2" borderId="1" pivotButton="0" quotePrefix="0" xfId="0"/>
    <xf numFmtId="0" fontId="3" fillId="2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4" fillId="3" borderId="0" pivotButton="0" quotePrefix="0" xfId="0"/>
    <xf numFmtId="0" fontId="0" fillId="3" borderId="0" pivotButton="0" quotePrefix="0" xfId="0"/>
    <xf numFmtId="0" fontId="5" fillId="0" borderId="0" applyAlignment="1" pivotButton="0" quotePrefix="0" xfId="0">
      <alignment horizontal="left" vertical="center"/>
    </xf>
    <xf numFmtId="3" fontId="5" fillId="0" borderId="0" applyAlignment="1" pivotButton="0" quotePrefix="0" xfId="0">
      <alignment horizontal="right" vertical="center"/>
    </xf>
    <xf numFmtId="3" fontId="6" fillId="0" borderId="0" applyAlignment="1" pivotButton="0" quotePrefix="0" xfId="0">
      <alignment horizontal="right" vertical="center"/>
    </xf>
    <xf numFmtId="164" fontId="2" fillId="0" borderId="0" applyAlignment="1" pivotButton="0" quotePrefix="0" xfId="0">
      <alignment horizontal="right" vertical="center"/>
    </xf>
    <xf numFmtId="3" fontId="5" fillId="4" borderId="0" applyAlignment="1" pivotButton="0" quotePrefix="0" xfId="0">
      <alignment horizontal="right" vertical="center"/>
    </xf>
    <xf numFmtId="3" fontId="6" fillId="4" borderId="0" applyAlignment="1" pivotButton="0" quotePrefix="0" xfId="0">
      <alignment horizontal="right" vertical="center"/>
    </xf>
    <xf numFmtId="164" fontId="2" fillId="4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3" fontId="4" fillId="0" borderId="0" applyAlignment="1" pivotButton="0" quotePrefix="0" xfId="0">
      <alignment horizontal="right" vertical="center"/>
    </xf>
    <xf numFmtId="3" fontId="4" fillId="4" borderId="0" applyAlignment="1" pivotButton="0" quotePrefix="0" xfId="0">
      <alignment horizontal="right" vertical="center"/>
    </xf>
    <xf numFmtId="3" fontId="7" fillId="0" borderId="0" applyAlignment="1" pivotButton="0" quotePrefix="0" xfId="0">
      <alignment horizontal="right" vertical="center"/>
    </xf>
    <xf numFmtId="3" fontId="0" fillId="4" borderId="0" applyAlignment="1" pivotButton="0" quotePrefix="0" xfId="0">
      <alignment horizontal="right" vertical="center"/>
    </xf>
    <xf numFmtId="3" fontId="0" fillId="0" borderId="0" applyAlignment="1" pivotButton="0" quotePrefix="0" xfId="0">
      <alignment horizontal="right" vertical="center"/>
    </xf>
    <xf numFmtId="0" fontId="0" fillId="2" borderId="1" pivotButton="0" quotePrefix="0" xfId="0"/>
    <xf numFmtId="0" fontId="4" fillId="3" borderId="0" applyAlignment="1" pivotButton="0" quotePrefix="0" xfId="0">
      <alignment vertical="top" wrapText="1"/>
    </xf>
    <xf numFmtId="0" fontId="5" fillId="0" borderId="0" pivotButton="0" quotePrefix="0" xfId="0"/>
    <xf numFmtId="164" fontId="6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vertical="top" wrapText="1"/>
    </xf>
    <xf numFmtId="164" fontId="8" fillId="5" borderId="0" applyAlignment="1" pivotButton="0" quotePrefix="0" xfId="0">
      <alignment horizontal="right" vertical="center"/>
    </xf>
    <xf numFmtId="10" fontId="8" fillId="5" borderId="0" applyAlignment="1" pivotButton="0" quotePrefix="0" xfId="0">
      <alignment horizontal="right" vertical="center"/>
    </xf>
    <xf numFmtId="4" fontId="8" fillId="5" borderId="0" applyAlignment="1" pivotButton="0" quotePrefix="0" xfId="0">
      <alignment horizontal="right" vertical="center"/>
    </xf>
    <xf numFmtId="10" fontId="6" fillId="0" borderId="0" applyAlignment="1" pivotButton="0" quotePrefix="0" xfId="0">
      <alignment horizontal="right" vertical="center"/>
    </xf>
    <xf numFmtId="4" fontId="6" fillId="0" borderId="0" applyAlignment="1" pivotButton="0" quotePrefix="0" xfId="0">
      <alignment horizontal="right" vertical="center"/>
    </xf>
    <xf numFmtId="3" fontId="8" fillId="5" borderId="0" applyAlignment="1" pivotButton="0" quotePrefix="0" xfId="0">
      <alignment horizontal="right" vertical="center"/>
    </xf>
    <xf numFmtId="3" fontId="9" fillId="0" borderId="0" applyAlignment="1" pivotButton="0" quotePrefix="0" xfId="0">
      <alignment horizontal="right" vertical="center"/>
    </xf>
    <xf numFmtId="0" fontId="4" fillId="0" borderId="0" pivotButton="0" quotePrefix="0" xfId="0"/>
    <xf numFmtId="4" fontId="4" fillId="0" borderId="0" applyAlignment="1" pivotButton="0" quotePrefix="0" xfId="0">
      <alignment horizontal="right" vertical="center"/>
    </xf>
    <xf numFmtId="4" fontId="9" fillId="0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M59"/>
  <sheetViews>
    <sheetView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4" customWidth="1" min="1" max="1"/>
    <col width="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13" customWidth="1" min="14" max="14"/>
    <col width="13" customWidth="1" min="15" max="15"/>
    <col width="13" customWidth="1" min="16" max="16"/>
    <col width="13" customWidth="1" min="17" max="17"/>
    <col width="13" customWidth="1" min="18" max="18"/>
    <col width="13" customWidth="1" min="19" max="19"/>
    <col width="13" customWidth="1" min="20" max="20"/>
    <col width="3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8" customWidth="1" min="36" max="36"/>
    <col width="8" customWidth="1" min="37" max="37"/>
    <col width="8" customWidth="1" min="38" max="38"/>
    <col width="8" customWidth="1" min="39" max="39"/>
  </cols>
  <sheetData>
    <row r="1" ht="22" customHeight="1">
      <c r="A1" s="1" t="inlineStr">
        <is>
          <t>Estados Financieros — EEFF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2" t="n"/>
      <c r="V1" s="2" t="n"/>
      <c r="W1" s="2" t="n"/>
      <c r="X1" s="2" t="n"/>
      <c r="Y1" s="2" t="n"/>
      <c r="Z1" s="2" t="n"/>
      <c r="AA1" s="2" t="n"/>
      <c r="AB1" s="2" t="n"/>
      <c r="AC1" s="2" t="n"/>
      <c r="AD1" s="2" t="n"/>
      <c r="AE1" s="2" t="n"/>
      <c r="AF1" s="2" t="n"/>
      <c r="AG1" s="2" t="n"/>
      <c r="AH1" s="2" t="n"/>
      <c r="AI1" s="2" t="n"/>
      <c r="AJ1" s="2" t="n"/>
      <c r="AK1" s="2" t="n"/>
      <c r="AL1" s="2" t="n"/>
      <c r="AM1" s="2" t="n"/>
    </row>
    <row r="2">
      <c r="A2" s="3" t="inlineStr">
        <is>
          <t>VOLCAN COMPAÑIA MINERA S.A.A. · Cifras en miles de Dólares · Fuente: SMV (Consolidado) · Proyección 2026-2035 con fórmulas vivas. Herramienta educativa, no es asesoría financiera.</t>
        </is>
      </c>
    </row>
    <row r="3">
      <c r="C3" s="4" t="inlineStr">
        <is>
          <t>HISTÓRICO</t>
        </is>
      </c>
      <c r="K3" s="4" t="inlineStr">
        <is>
          <t>PROYECCIÓN</t>
        </is>
      </c>
      <c r="V3" s="3" t="inlineStr">
        <is>
          <t>ANÁLISIS VERTICAL (%)</t>
        </is>
      </c>
    </row>
    <row r="4" ht="18" customHeight="1">
      <c r="A4" s="5" t="inlineStr">
        <is>
          <t>Cuenta</t>
        </is>
      </c>
      <c r="B4" s="5" t="n"/>
      <c r="C4" s="6" t="n">
        <v>2018</v>
      </c>
      <c r="D4" s="6" t="n">
        <v>2019</v>
      </c>
      <c r="E4" s="6" t="n">
        <v>2020</v>
      </c>
      <c r="F4" s="6" t="n">
        <v>2021</v>
      </c>
      <c r="G4" s="6" t="n">
        <v>2022</v>
      </c>
      <c r="H4" s="6" t="n">
        <v>2023</v>
      </c>
      <c r="I4" s="6" t="n">
        <v>2024</v>
      </c>
      <c r="J4" s="6" t="n">
        <v>2025</v>
      </c>
      <c r="K4" s="7" t="n">
        <v>2026</v>
      </c>
      <c r="L4" s="7" t="n">
        <v>2027</v>
      </c>
      <c r="M4" s="7" t="n">
        <v>2028</v>
      </c>
      <c r="N4" s="7" t="n">
        <v>2029</v>
      </c>
      <c r="O4" s="7" t="n">
        <v>2030</v>
      </c>
      <c r="P4" s="7" t="n">
        <v>2031</v>
      </c>
      <c r="Q4" s="7" t="n">
        <v>2032</v>
      </c>
      <c r="R4" s="7" t="n">
        <v>2033</v>
      </c>
      <c r="S4" s="7" t="n">
        <v>2034</v>
      </c>
      <c r="T4" s="7" t="n">
        <v>2035</v>
      </c>
      <c r="U4" s="5" t="n"/>
      <c r="V4" s="6" t="n">
        <v>2018</v>
      </c>
      <c r="W4" s="6" t="n">
        <v>2019</v>
      </c>
      <c r="X4" s="6" t="n">
        <v>2020</v>
      </c>
      <c r="Y4" s="6" t="n">
        <v>2021</v>
      </c>
      <c r="Z4" s="6" t="n">
        <v>2022</v>
      </c>
      <c r="AA4" s="6" t="n">
        <v>2023</v>
      </c>
      <c r="AB4" s="6" t="n">
        <v>2024</v>
      </c>
      <c r="AC4" s="6" t="n">
        <v>2025</v>
      </c>
      <c r="AD4" s="7" t="n">
        <v>2026</v>
      </c>
      <c r="AE4" s="7" t="n">
        <v>2027</v>
      </c>
      <c r="AF4" s="7" t="n">
        <v>2028</v>
      </c>
      <c r="AG4" s="7" t="n">
        <v>2029</v>
      </c>
      <c r="AH4" s="7" t="n">
        <v>2030</v>
      </c>
      <c r="AI4" s="7" t="n">
        <v>2031</v>
      </c>
      <c r="AJ4" s="7" t="n">
        <v>2032</v>
      </c>
      <c r="AK4" s="7" t="n">
        <v>2033</v>
      </c>
      <c r="AL4" s="7" t="n">
        <v>2034</v>
      </c>
      <c r="AM4" s="7" t="n">
        <v>2035</v>
      </c>
    </row>
    <row r="5" ht="16" customHeight="1">
      <c r="A5" s="8" t="inlineStr">
        <is>
          <t>ESTADO DE RESULTADOS</t>
        </is>
      </c>
      <c r="B5" s="9" t="n"/>
      <c r="C5" s="9" t="n"/>
      <c r="D5" s="9" t="n"/>
      <c r="E5" s="9" t="n"/>
      <c r="F5" s="9" t="n"/>
      <c r="G5" s="9" t="n"/>
      <c r="H5" s="9" t="n"/>
      <c r="I5" s="9" t="n"/>
      <c r="J5" s="9" t="n"/>
      <c r="K5" s="9" t="n"/>
      <c r="L5" s="9" t="n"/>
      <c r="M5" s="9" t="n"/>
      <c r="N5" s="9" t="n"/>
      <c r="O5" s="9" t="n"/>
      <c r="P5" s="9" t="n"/>
      <c r="Q5" s="9" t="n"/>
      <c r="R5" s="9" t="n"/>
      <c r="S5" s="9" t="n"/>
      <c r="T5" s="9" t="n"/>
      <c r="U5" s="9" t="n"/>
      <c r="V5" s="9" t="n"/>
      <c r="W5" s="9" t="n"/>
      <c r="X5" s="9" t="n"/>
      <c r="Y5" s="9" t="n"/>
      <c r="Z5" s="9" t="n"/>
      <c r="AA5" s="9" t="n"/>
      <c r="AB5" s="9" t="n"/>
      <c r="AC5" s="9" t="n"/>
      <c r="AD5" s="9" t="n"/>
      <c r="AE5" s="9" t="n"/>
      <c r="AF5" s="9" t="n"/>
      <c r="AG5" s="9" t="n"/>
      <c r="AH5" s="9" t="n"/>
      <c r="AI5" s="9" t="n"/>
      <c r="AJ5" s="9" t="n"/>
      <c r="AK5" s="9" t="n"/>
      <c r="AL5" s="9" t="n"/>
      <c r="AM5" s="9" t="n"/>
    </row>
    <row r="6" ht="14" customHeight="1">
      <c r="A6" s="10" t="inlineStr">
        <is>
          <t>Ingresos de Actividades Ordinarias</t>
        </is>
      </c>
      <c r="C6" s="11" t="n">
        <v>775102</v>
      </c>
      <c r="D6" s="11" t="n">
        <v>743578</v>
      </c>
      <c r="E6" s="11" t="n">
        <v>535469</v>
      </c>
      <c r="F6" s="11" t="n">
        <v>937399</v>
      </c>
      <c r="G6" s="11" t="n">
        <v>951266</v>
      </c>
      <c r="H6" s="11" t="n">
        <v>883086</v>
      </c>
      <c r="I6" s="11" t="n">
        <v>960521</v>
      </c>
      <c r="J6" s="11" t="n">
        <v>1180687</v>
      </c>
      <c r="K6" s="12">
        <f>J6*(1+Supuestos!$C$7)</f>
        <v/>
      </c>
      <c r="L6" s="12">
        <f>K6*(1+Supuestos!$C$7)</f>
        <v/>
      </c>
      <c r="M6" s="12">
        <f>L6*(1+Supuestos!$C$7)</f>
        <v/>
      </c>
      <c r="N6" s="12">
        <f>M6*(1+Supuestos!$C$7)</f>
        <v/>
      </c>
      <c r="O6" s="12">
        <f>N6*(1+Supuestos!$C$7)</f>
        <v/>
      </c>
      <c r="P6" s="12">
        <f>O6*(1+Supuestos!$C$7)</f>
        <v/>
      </c>
      <c r="Q6" s="12">
        <f>P6*(1+Supuestos!$C$7)</f>
        <v/>
      </c>
      <c r="R6" s="12">
        <f>Q6*(1+Supuestos!$C$7)</f>
        <v/>
      </c>
      <c r="S6" s="12">
        <f>R6*(1+Supuestos!$C$7)</f>
        <v/>
      </c>
      <c r="T6" s="12">
        <f>S6*(1+Supuestos!$C$7)</f>
        <v/>
      </c>
      <c r="V6" s="13">
        <f>C6/C6</f>
        <v/>
      </c>
      <c r="W6" s="13">
        <f>D6/D6</f>
        <v/>
      </c>
      <c r="X6" s="13">
        <f>E6/E6</f>
        <v/>
      </c>
      <c r="Y6" s="13">
        <f>F6/F6</f>
        <v/>
      </c>
      <c r="Z6" s="13">
        <f>G6/G6</f>
        <v/>
      </c>
      <c r="AA6" s="13">
        <f>H6/H6</f>
        <v/>
      </c>
      <c r="AB6" s="13">
        <f>I6/I6</f>
        <v/>
      </c>
      <c r="AC6" s="13">
        <f>J6/J6</f>
        <v/>
      </c>
      <c r="AD6" s="13">
        <f>K6/K6</f>
        <v/>
      </c>
      <c r="AE6" s="13">
        <f>L6/L6</f>
        <v/>
      </c>
      <c r="AF6" s="13">
        <f>M6/M6</f>
        <v/>
      </c>
      <c r="AG6" s="13">
        <f>N6/N6</f>
        <v/>
      </c>
      <c r="AH6" s="13">
        <f>O6/O6</f>
        <v/>
      </c>
      <c r="AI6" s="13">
        <f>P6/P6</f>
        <v/>
      </c>
      <c r="AJ6" s="13">
        <f>Q6/Q6</f>
        <v/>
      </c>
      <c r="AK6" s="13">
        <f>R6/R6</f>
        <v/>
      </c>
      <c r="AL6" s="13">
        <f>S6/S6</f>
        <v/>
      </c>
      <c r="AM6" s="13">
        <f>T6/T6</f>
        <v/>
      </c>
    </row>
    <row r="7" ht="14" customHeight="1">
      <c r="A7" s="10" t="inlineStr">
        <is>
          <t>Costo de Ventas</t>
        </is>
      </c>
      <c r="C7" s="14" t="n">
        <v>-546383</v>
      </c>
      <c r="D7" s="14" t="n">
        <v>-619985</v>
      </c>
      <c r="E7" s="14" t="n">
        <v>-513266</v>
      </c>
      <c r="F7" s="14" t="n">
        <v>-656031</v>
      </c>
      <c r="G7" s="14" t="n">
        <v>-762743</v>
      </c>
      <c r="H7" s="14" t="n">
        <v>-725507</v>
      </c>
      <c r="I7" s="14" t="n">
        <v>-699588</v>
      </c>
      <c r="J7" s="14" t="n">
        <v>-737401</v>
      </c>
      <c r="K7" s="15">
        <f>-Supuestos!$C$8*K6</f>
        <v/>
      </c>
      <c r="L7" s="15">
        <f>-Supuestos!$C$8*L6</f>
        <v/>
      </c>
      <c r="M7" s="15">
        <f>-Supuestos!$C$8*M6</f>
        <v/>
      </c>
      <c r="N7" s="15">
        <f>-Supuestos!$C$8*N6</f>
        <v/>
      </c>
      <c r="O7" s="15">
        <f>-Supuestos!$C$8*O6</f>
        <v/>
      </c>
      <c r="P7" s="15">
        <f>-Supuestos!$C$8*P6</f>
        <v/>
      </c>
      <c r="Q7" s="15">
        <f>-Supuestos!$C$8*Q6</f>
        <v/>
      </c>
      <c r="R7" s="15">
        <f>-Supuestos!$C$8*R6</f>
        <v/>
      </c>
      <c r="S7" s="15">
        <f>-Supuestos!$C$8*S6</f>
        <v/>
      </c>
      <c r="T7" s="15">
        <f>-Supuestos!$C$8*T6</f>
        <v/>
      </c>
      <c r="V7" s="16">
        <f>C7/C6</f>
        <v/>
      </c>
      <c r="W7" s="16">
        <f>D7/D6</f>
        <v/>
      </c>
      <c r="X7" s="16">
        <f>E7/E6</f>
        <v/>
      </c>
      <c r="Y7" s="16">
        <f>F7/F6</f>
        <v/>
      </c>
      <c r="Z7" s="16">
        <f>G7/G6</f>
        <v/>
      </c>
      <c r="AA7" s="16">
        <f>H7/H6</f>
        <v/>
      </c>
      <c r="AB7" s="16">
        <f>I7/I6</f>
        <v/>
      </c>
      <c r="AC7" s="16">
        <f>J7/J6</f>
        <v/>
      </c>
      <c r="AD7" s="16">
        <f>K7/K6</f>
        <v/>
      </c>
      <c r="AE7" s="16">
        <f>L7/L6</f>
        <v/>
      </c>
      <c r="AF7" s="16">
        <f>M7/M6</f>
        <v/>
      </c>
      <c r="AG7" s="16">
        <f>N7/N6</f>
        <v/>
      </c>
      <c r="AH7" s="16">
        <f>O7/O6</f>
        <v/>
      </c>
      <c r="AI7" s="16">
        <f>P7/P6</f>
        <v/>
      </c>
      <c r="AJ7" s="16">
        <f>Q7/Q6</f>
        <v/>
      </c>
      <c r="AK7" s="16">
        <f>R7/R6</f>
        <v/>
      </c>
      <c r="AL7" s="16">
        <f>S7/S6</f>
        <v/>
      </c>
      <c r="AM7" s="16">
        <f>T7/T6</f>
        <v/>
      </c>
    </row>
    <row r="8" ht="14" customHeight="1">
      <c r="A8" s="17" t="inlineStr">
        <is>
          <t>Ganancia (Pérdida) Bruta</t>
        </is>
      </c>
      <c r="C8" s="18" t="n">
        <v>228719</v>
      </c>
      <c r="D8" s="18" t="n">
        <v>123593</v>
      </c>
      <c r="E8" s="18" t="n">
        <v>22203</v>
      </c>
      <c r="F8" s="18" t="n">
        <v>281368</v>
      </c>
      <c r="G8" s="18" t="n">
        <v>188523</v>
      </c>
      <c r="H8" s="18" t="n">
        <v>157579</v>
      </c>
      <c r="I8" s="18" t="n">
        <v>260933</v>
      </c>
      <c r="J8" s="18" t="n">
        <v>443286</v>
      </c>
      <c r="K8" s="18">
        <f>K6+K7</f>
        <v/>
      </c>
      <c r="L8" s="18">
        <f>L6+L7</f>
        <v/>
      </c>
      <c r="M8" s="18">
        <f>M6+M7</f>
        <v/>
      </c>
      <c r="N8" s="18">
        <f>N6+N7</f>
        <v/>
      </c>
      <c r="O8" s="18">
        <f>O6+O7</f>
        <v/>
      </c>
      <c r="P8" s="18">
        <f>P6+P7</f>
        <v/>
      </c>
      <c r="Q8" s="18">
        <f>Q6+Q7</f>
        <v/>
      </c>
      <c r="R8" s="18">
        <f>R6+R7</f>
        <v/>
      </c>
      <c r="S8" s="18">
        <f>S6+S7</f>
        <v/>
      </c>
      <c r="T8" s="18">
        <f>T6+T7</f>
        <v/>
      </c>
      <c r="V8" s="13">
        <f>C8/C6</f>
        <v/>
      </c>
      <c r="W8" s="13">
        <f>D8/D6</f>
        <v/>
      </c>
      <c r="X8" s="13">
        <f>E8/E6</f>
        <v/>
      </c>
      <c r="Y8" s="13">
        <f>F8/F6</f>
        <v/>
      </c>
      <c r="Z8" s="13">
        <f>G8/G6</f>
        <v/>
      </c>
      <c r="AA8" s="13">
        <f>H8/H6</f>
        <v/>
      </c>
      <c r="AB8" s="13">
        <f>I8/I6</f>
        <v/>
      </c>
      <c r="AC8" s="13">
        <f>J8/J6</f>
        <v/>
      </c>
      <c r="AD8" s="13">
        <f>K8/K6</f>
        <v/>
      </c>
      <c r="AE8" s="13">
        <f>L8/L6</f>
        <v/>
      </c>
      <c r="AF8" s="13">
        <f>M8/M6</f>
        <v/>
      </c>
      <c r="AG8" s="13">
        <f>N8/N6</f>
        <v/>
      </c>
      <c r="AH8" s="13">
        <f>O8/O6</f>
        <v/>
      </c>
      <c r="AI8" s="13">
        <f>P8/P6</f>
        <v/>
      </c>
      <c r="AJ8" s="13">
        <f>Q8/Q6</f>
        <v/>
      </c>
      <c r="AK8" s="13">
        <f>R8/R6</f>
        <v/>
      </c>
      <c r="AL8" s="13">
        <f>S8/S6</f>
        <v/>
      </c>
      <c r="AM8" s="13">
        <f>T8/T6</f>
        <v/>
      </c>
    </row>
    <row r="9" ht="14" customHeight="1">
      <c r="A9" s="10" t="inlineStr">
        <is>
          <t>Gastos de Administración y Ventas</t>
        </is>
      </c>
      <c r="C9" s="14" t="n">
        <v>-89062</v>
      </c>
      <c r="D9" s="14" t="n">
        <v>-81474</v>
      </c>
      <c r="E9" s="14" t="n">
        <v>-56187</v>
      </c>
      <c r="F9" s="14" t="n">
        <v>-78805</v>
      </c>
      <c r="G9" s="14" t="n">
        <v>-94198</v>
      </c>
      <c r="H9" s="14" t="n">
        <v>-85720</v>
      </c>
      <c r="I9" s="14" t="n">
        <v>-91956</v>
      </c>
      <c r="J9" s="14" t="n">
        <v>-128256</v>
      </c>
      <c r="K9" s="15">
        <f>-Supuestos!$C$9*K6</f>
        <v/>
      </c>
      <c r="L9" s="15">
        <f>-Supuestos!$C$9*L6</f>
        <v/>
      </c>
      <c r="M9" s="15">
        <f>-Supuestos!$C$9*M6</f>
        <v/>
      </c>
      <c r="N9" s="15">
        <f>-Supuestos!$C$9*N6</f>
        <v/>
      </c>
      <c r="O9" s="15">
        <f>-Supuestos!$C$9*O6</f>
        <v/>
      </c>
      <c r="P9" s="15">
        <f>-Supuestos!$C$9*P6</f>
        <v/>
      </c>
      <c r="Q9" s="15">
        <f>-Supuestos!$C$9*Q6</f>
        <v/>
      </c>
      <c r="R9" s="15">
        <f>-Supuestos!$C$9*R6</f>
        <v/>
      </c>
      <c r="S9" s="15">
        <f>-Supuestos!$C$9*S6</f>
        <v/>
      </c>
      <c r="T9" s="15">
        <f>-Supuestos!$C$9*T6</f>
        <v/>
      </c>
      <c r="V9" s="16">
        <f>C9/C6</f>
        <v/>
      </c>
      <c r="W9" s="16">
        <f>D9/D6</f>
        <v/>
      </c>
      <c r="X9" s="16">
        <f>E9/E6</f>
        <v/>
      </c>
      <c r="Y9" s="16">
        <f>F9/F6</f>
        <v/>
      </c>
      <c r="Z9" s="16">
        <f>G9/G6</f>
        <v/>
      </c>
      <c r="AA9" s="16">
        <f>H9/H6</f>
        <v/>
      </c>
      <c r="AB9" s="16">
        <f>I9/I6</f>
        <v/>
      </c>
      <c r="AC9" s="16">
        <f>J9/J6</f>
        <v/>
      </c>
      <c r="AD9" s="16">
        <f>K9/K6</f>
        <v/>
      </c>
      <c r="AE9" s="16">
        <f>L9/L6</f>
        <v/>
      </c>
      <c r="AF9" s="16">
        <f>M9/M6</f>
        <v/>
      </c>
      <c r="AG9" s="16">
        <f>N9/N6</f>
        <v/>
      </c>
      <c r="AH9" s="16">
        <f>O9/O6</f>
        <v/>
      </c>
      <c r="AI9" s="16">
        <f>P9/P6</f>
        <v/>
      </c>
      <c r="AJ9" s="16">
        <f>Q9/Q6</f>
        <v/>
      </c>
      <c r="AK9" s="16">
        <f>R9/R6</f>
        <v/>
      </c>
      <c r="AL9" s="16">
        <f>S9/S6</f>
        <v/>
      </c>
      <c r="AM9" s="16">
        <f>T9/T6</f>
        <v/>
      </c>
    </row>
    <row r="10" ht="14" customHeight="1">
      <c r="A10" s="10" t="inlineStr">
        <is>
          <t>Otros Ingresos (Gastos) Operativos</t>
        </is>
      </c>
      <c r="C10" s="11" t="n">
        <v>19647</v>
      </c>
      <c r="D10" s="11" t="n">
        <v>-13514</v>
      </c>
      <c r="E10" s="11" t="n">
        <v>-61099</v>
      </c>
      <c r="F10" s="11" t="n">
        <v>-50364</v>
      </c>
      <c r="G10" s="11" t="n">
        <v>-153466</v>
      </c>
      <c r="H10" s="11" t="n">
        <v>-51278</v>
      </c>
      <c r="I10" s="11" t="n">
        <v>121533</v>
      </c>
      <c r="J10" s="11" t="n">
        <v>88138</v>
      </c>
      <c r="K10" s="12">
        <f>$J$10</f>
        <v/>
      </c>
      <c r="L10" s="12">
        <f>$J$10</f>
        <v/>
      </c>
      <c r="M10" s="12">
        <f>$J$10</f>
        <v/>
      </c>
      <c r="N10" s="12">
        <f>$J$10</f>
        <v/>
      </c>
      <c r="O10" s="12">
        <f>$J$10</f>
        <v/>
      </c>
      <c r="P10" s="12">
        <f>$J$10</f>
        <v/>
      </c>
      <c r="Q10" s="12">
        <f>$J$10</f>
        <v/>
      </c>
      <c r="R10" s="12">
        <f>$J$10</f>
        <v/>
      </c>
      <c r="S10" s="12">
        <f>$J$10</f>
        <v/>
      </c>
      <c r="T10" s="12">
        <f>$J$10</f>
        <v/>
      </c>
      <c r="V10" s="13">
        <f>C10/C6</f>
        <v/>
      </c>
      <c r="W10" s="13">
        <f>D10/D6</f>
        <v/>
      </c>
      <c r="X10" s="13">
        <f>E10/E6</f>
        <v/>
      </c>
      <c r="Y10" s="13">
        <f>F10/F6</f>
        <v/>
      </c>
      <c r="Z10" s="13">
        <f>G10/G6</f>
        <v/>
      </c>
      <c r="AA10" s="13">
        <f>H10/H6</f>
        <v/>
      </c>
      <c r="AB10" s="13">
        <f>I10/I6</f>
        <v/>
      </c>
      <c r="AC10" s="13">
        <f>J10/J6</f>
        <v/>
      </c>
      <c r="AD10" s="13">
        <f>K10/K6</f>
        <v/>
      </c>
      <c r="AE10" s="13">
        <f>L10/L6</f>
        <v/>
      </c>
      <c r="AF10" s="13">
        <f>M10/M6</f>
        <v/>
      </c>
      <c r="AG10" s="13">
        <f>N10/N6</f>
        <v/>
      </c>
      <c r="AH10" s="13">
        <f>O10/O6</f>
        <v/>
      </c>
      <c r="AI10" s="13">
        <f>P10/P6</f>
        <v/>
      </c>
      <c r="AJ10" s="13">
        <f>Q10/Q6</f>
        <v/>
      </c>
      <c r="AK10" s="13">
        <f>R10/R6</f>
        <v/>
      </c>
      <c r="AL10" s="13">
        <f>S10/S6</f>
        <v/>
      </c>
      <c r="AM10" s="13">
        <f>T10/T6</f>
        <v/>
      </c>
    </row>
    <row r="11" ht="14" customHeight="1">
      <c r="A11" s="17" t="inlineStr">
        <is>
          <t>Ganancia (Pérdida) Operativa (EBIT)</t>
        </is>
      </c>
      <c r="C11" s="19" t="n">
        <v>159304</v>
      </c>
      <c r="D11" s="19" t="n">
        <v>28605</v>
      </c>
      <c r="E11" s="19" t="n">
        <v>-95083</v>
      </c>
      <c r="F11" s="19" t="n">
        <v>152199</v>
      </c>
      <c r="G11" s="19" t="n">
        <v>-59141</v>
      </c>
      <c r="H11" s="19" t="n">
        <v>20581</v>
      </c>
      <c r="I11" s="19" t="n">
        <v>290510</v>
      </c>
      <c r="J11" s="19" t="n">
        <v>403168</v>
      </c>
      <c r="K11" s="19">
        <f>K8+K9+K10</f>
        <v/>
      </c>
      <c r="L11" s="19">
        <f>L8+L9+L10</f>
        <v/>
      </c>
      <c r="M11" s="19">
        <f>M8+M9+M10</f>
        <v/>
      </c>
      <c r="N11" s="19">
        <f>N8+N9+N10</f>
        <v/>
      </c>
      <c r="O11" s="19">
        <f>O8+O9+O10</f>
        <v/>
      </c>
      <c r="P11" s="19">
        <f>P8+P9+P10</f>
        <v/>
      </c>
      <c r="Q11" s="19">
        <f>Q8+Q9+Q10</f>
        <v/>
      </c>
      <c r="R11" s="19">
        <f>R8+R9+R10</f>
        <v/>
      </c>
      <c r="S11" s="19">
        <f>S8+S9+S10</f>
        <v/>
      </c>
      <c r="T11" s="19">
        <f>T8+T9+T10</f>
        <v/>
      </c>
      <c r="V11" s="16">
        <f>C11/C6</f>
        <v/>
      </c>
      <c r="W11" s="16">
        <f>D11/D6</f>
        <v/>
      </c>
      <c r="X11" s="16">
        <f>E11/E6</f>
        <v/>
      </c>
      <c r="Y11" s="16">
        <f>F11/F6</f>
        <v/>
      </c>
      <c r="Z11" s="16">
        <f>G11/G6</f>
        <v/>
      </c>
      <c r="AA11" s="16">
        <f>H11/H6</f>
        <v/>
      </c>
      <c r="AB11" s="16">
        <f>I11/I6</f>
        <v/>
      </c>
      <c r="AC11" s="16">
        <f>J11/J6</f>
        <v/>
      </c>
      <c r="AD11" s="16">
        <f>K11/K6</f>
        <v/>
      </c>
      <c r="AE11" s="16">
        <f>L11/L6</f>
        <v/>
      </c>
      <c r="AF11" s="16">
        <f>M11/M6</f>
        <v/>
      </c>
      <c r="AG11" s="16">
        <f>N11/N6</f>
        <v/>
      </c>
      <c r="AH11" s="16">
        <f>O11/O6</f>
        <v/>
      </c>
      <c r="AI11" s="16">
        <f>P11/P6</f>
        <v/>
      </c>
      <c r="AJ11" s="16">
        <f>Q11/Q6</f>
        <v/>
      </c>
      <c r="AK11" s="16">
        <f>R11/R6</f>
        <v/>
      </c>
      <c r="AL11" s="16">
        <f>S11/S6</f>
        <v/>
      </c>
      <c r="AM11" s="16">
        <f>T11/T6</f>
        <v/>
      </c>
    </row>
    <row r="12" ht="14" customHeight="1">
      <c r="A12" s="10" t="inlineStr">
        <is>
          <t>Otros Resultados Netos (financieros y otros)</t>
        </is>
      </c>
      <c r="C12" s="11" t="n">
        <v>-44839</v>
      </c>
      <c r="D12" s="11" t="n">
        <v>-46544</v>
      </c>
      <c r="E12" s="11" t="n">
        <v>-54653</v>
      </c>
      <c r="F12" s="11" t="n">
        <v>-58412</v>
      </c>
      <c r="G12" s="11" t="n">
        <v>-42373</v>
      </c>
      <c r="H12" s="11" t="n">
        <v>-64733</v>
      </c>
      <c r="I12" s="11" t="n">
        <v>-74318</v>
      </c>
      <c r="J12" s="11" t="n">
        <v>-120379</v>
      </c>
      <c r="K12" s="12">
        <f>$J$12</f>
        <v/>
      </c>
      <c r="L12" s="12">
        <f>$J$12</f>
        <v/>
      </c>
      <c r="M12" s="12">
        <f>$J$12</f>
        <v/>
      </c>
      <c r="N12" s="12">
        <f>$J$12</f>
        <v/>
      </c>
      <c r="O12" s="12">
        <f>$J$12</f>
        <v/>
      </c>
      <c r="P12" s="12">
        <f>$J$12</f>
        <v/>
      </c>
      <c r="Q12" s="12">
        <f>$J$12</f>
        <v/>
      </c>
      <c r="R12" s="12">
        <f>$J$12</f>
        <v/>
      </c>
      <c r="S12" s="12">
        <f>$J$12</f>
        <v/>
      </c>
      <c r="T12" s="12">
        <f>$J$12</f>
        <v/>
      </c>
      <c r="V12" s="13">
        <f>C12/C6</f>
        <v/>
      </c>
      <c r="W12" s="13">
        <f>D12/D6</f>
        <v/>
      </c>
      <c r="X12" s="13">
        <f>E12/E6</f>
        <v/>
      </c>
      <c r="Y12" s="13">
        <f>F12/F6</f>
        <v/>
      </c>
      <c r="Z12" s="13">
        <f>G12/G6</f>
        <v/>
      </c>
      <c r="AA12" s="13">
        <f>H12/H6</f>
        <v/>
      </c>
      <c r="AB12" s="13">
        <f>I12/I6</f>
        <v/>
      </c>
      <c r="AC12" s="13">
        <f>J12/J6</f>
        <v/>
      </c>
      <c r="AD12" s="13">
        <f>K12/K6</f>
        <v/>
      </c>
      <c r="AE12" s="13">
        <f>L12/L6</f>
        <v/>
      </c>
      <c r="AF12" s="13">
        <f>M12/M6</f>
        <v/>
      </c>
      <c r="AG12" s="13">
        <f>N12/N6</f>
        <v/>
      </c>
      <c r="AH12" s="13">
        <f>O12/O6</f>
        <v/>
      </c>
      <c r="AI12" s="13">
        <f>P12/P6</f>
        <v/>
      </c>
      <c r="AJ12" s="13">
        <f>Q12/Q6</f>
        <v/>
      </c>
      <c r="AK12" s="13">
        <f>R12/R6</f>
        <v/>
      </c>
      <c r="AL12" s="13">
        <f>S12/S6</f>
        <v/>
      </c>
      <c r="AM12" s="13">
        <f>T12/T6</f>
        <v/>
      </c>
    </row>
    <row r="13" ht="14" customHeight="1">
      <c r="A13" s="10" t="inlineStr">
        <is>
          <t>Ganancia antes de Impuestos</t>
        </is>
      </c>
      <c r="C13" s="14" t="n">
        <v>114465</v>
      </c>
      <c r="D13" s="14" t="n">
        <v>-17939</v>
      </c>
      <c r="E13" s="14" t="n">
        <v>-149736</v>
      </c>
      <c r="F13" s="14" t="n">
        <v>93787</v>
      </c>
      <c r="G13" s="14" t="n">
        <v>-101514</v>
      </c>
      <c r="H13" s="14" t="n">
        <v>-44152</v>
      </c>
      <c r="I13" s="14" t="n">
        <v>216192</v>
      </c>
      <c r="J13" s="14" t="n">
        <v>282789</v>
      </c>
      <c r="K13" s="15">
        <f>K11+K12</f>
        <v/>
      </c>
      <c r="L13" s="15">
        <f>L11+L12</f>
        <v/>
      </c>
      <c r="M13" s="15">
        <f>M11+M12</f>
        <v/>
      </c>
      <c r="N13" s="15">
        <f>N11+N12</f>
        <v/>
      </c>
      <c r="O13" s="15">
        <f>O11+O12</f>
        <v/>
      </c>
      <c r="P13" s="15">
        <f>P11+P12</f>
        <v/>
      </c>
      <c r="Q13" s="15">
        <f>Q11+Q12</f>
        <v/>
      </c>
      <c r="R13" s="15">
        <f>R11+R12</f>
        <v/>
      </c>
      <c r="S13" s="15">
        <f>S11+S12</f>
        <v/>
      </c>
      <c r="T13" s="15">
        <f>T11+T12</f>
        <v/>
      </c>
      <c r="V13" s="16">
        <f>C13/C6</f>
        <v/>
      </c>
      <c r="W13" s="16">
        <f>D13/D6</f>
        <v/>
      </c>
      <c r="X13" s="16">
        <f>E13/E6</f>
        <v/>
      </c>
      <c r="Y13" s="16">
        <f>F13/F6</f>
        <v/>
      </c>
      <c r="Z13" s="16">
        <f>G13/G6</f>
        <v/>
      </c>
      <c r="AA13" s="16">
        <f>H13/H6</f>
        <v/>
      </c>
      <c r="AB13" s="16">
        <f>I13/I6</f>
        <v/>
      </c>
      <c r="AC13" s="16">
        <f>J13/J6</f>
        <v/>
      </c>
      <c r="AD13" s="16">
        <f>K13/K6</f>
        <v/>
      </c>
      <c r="AE13" s="16">
        <f>L13/L6</f>
        <v/>
      </c>
      <c r="AF13" s="16">
        <f>M13/M6</f>
        <v/>
      </c>
      <c r="AG13" s="16">
        <f>N13/N6</f>
        <v/>
      </c>
      <c r="AH13" s="16">
        <f>O13/O6</f>
        <v/>
      </c>
      <c r="AI13" s="16">
        <f>P13/P6</f>
        <v/>
      </c>
      <c r="AJ13" s="16">
        <f>Q13/Q6</f>
        <v/>
      </c>
      <c r="AK13" s="16">
        <f>R13/R6</f>
        <v/>
      </c>
      <c r="AL13" s="16">
        <f>S13/S6</f>
        <v/>
      </c>
      <c r="AM13" s="16">
        <f>T13/T6</f>
        <v/>
      </c>
    </row>
    <row r="14" ht="14" customHeight="1">
      <c r="A14" s="10" t="inlineStr">
        <is>
          <t>Impuesto a las Ganancias</t>
        </is>
      </c>
      <c r="C14" s="11" t="n">
        <v>-85090</v>
      </c>
      <c r="D14" s="11" t="n">
        <v>-52389</v>
      </c>
      <c r="E14" s="11" t="n">
        <v>-706</v>
      </c>
      <c r="F14" s="11" t="n">
        <v>-53913</v>
      </c>
      <c r="G14" s="11" t="n">
        <v>20132</v>
      </c>
      <c r="H14" s="11" t="n">
        <v>34169</v>
      </c>
      <c r="I14" s="11" t="n">
        <v>-79059</v>
      </c>
      <c r="J14" s="11" t="n">
        <v>-77368</v>
      </c>
      <c r="K14" s="12">
        <f>-K13*Supuestos!$C$13</f>
        <v/>
      </c>
      <c r="L14" s="12">
        <f>-L13*Supuestos!$C$13</f>
        <v/>
      </c>
      <c r="M14" s="12">
        <f>-M13*Supuestos!$C$13</f>
        <v/>
      </c>
      <c r="N14" s="12">
        <f>-N13*Supuestos!$C$13</f>
        <v/>
      </c>
      <c r="O14" s="12">
        <f>-O13*Supuestos!$C$13</f>
        <v/>
      </c>
      <c r="P14" s="12">
        <f>-P13*Supuestos!$C$13</f>
        <v/>
      </c>
      <c r="Q14" s="12">
        <f>-Q13*Supuestos!$C$13</f>
        <v/>
      </c>
      <c r="R14" s="12">
        <f>-R13*Supuestos!$C$13</f>
        <v/>
      </c>
      <c r="S14" s="12">
        <f>-S13*Supuestos!$C$13</f>
        <v/>
      </c>
      <c r="T14" s="12">
        <f>-T13*Supuestos!$C$13</f>
        <v/>
      </c>
      <c r="V14" s="13">
        <f>C14/C6</f>
        <v/>
      </c>
      <c r="W14" s="13">
        <f>D14/D6</f>
        <v/>
      </c>
      <c r="X14" s="13">
        <f>E14/E6</f>
        <v/>
      </c>
      <c r="Y14" s="13">
        <f>F14/F6</f>
        <v/>
      </c>
      <c r="Z14" s="13">
        <f>G14/G6</f>
        <v/>
      </c>
      <c r="AA14" s="13">
        <f>H14/H6</f>
        <v/>
      </c>
      <c r="AB14" s="13">
        <f>I14/I6</f>
        <v/>
      </c>
      <c r="AC14" s="13">
        <f>J14/J6</f>
        <v/>
      </c>
      <c r="AD14" s="13">
        <f>K14/K6</f>
        <v/>
      </c>
      <c r="AE14" s="13">
        <f>L14/L6</f>
        <v/>
      </c>
      <c r="AF14" s="13">
        <f>M14/M6</f>
        <v/>
      </c>
      <c r="AG14" s="13">
        <f>N14/N6</f>
        <v/>
      </c>
      <c r="AH14" s="13">
        <f>O14/O6</f>
        <v/>
      </c>
      <c r="AI14" s="13">
        <f>P14/P6</f>
        <v/>
      </c>
      <c r="AJ14" s="13">
        <f>Q14/Q6</f>
        <v/>
      </c>
      <c r="AK14" s="13">
        <f>R14/R6</f>
        <v/>
      </c>
      <c r="AL14" s="13">
        <f>S14/S6</f>
        <v/>
      </c>
      <c r="AM14" s="13">
        <f>T14/T6</f>
        <v/>
      </c>
    </row>
    <row r="15" ht="14" customHeight="1">
      <c r="A15" s="17" t="inlineStr">
        <is>
          <t>Ganancia Neta del Ejercicio</t>
        </is>
      </c>
      <c r="C15" s="19" t="n">
        <v>29375</v>
      </c>
      <c r="D15" s="19" t="n">
        <v>-70328</v>
      </c>
      <c r="E15" s="19" t="n">
        <v>-150442</v>
      </c>
      <c r="F15" s="19" t="n">
        <v>39874</v>
      </c>
      <c r="G15" s="19" t="n">
        <v>-81382</v>
      </c>
      <c r="H15" s="19" t="n">
        <v>-9983</v>
      </c>
      <c r="I15" s="19" t="n">
        <v>137133</v>
      </c>
      <c r="J15" s="19" t="n">
        <v>205421</v>
      </c>
      <c r="K15" s="19">
        <f>K13+K14</f>
        <v/>
      </c>
      <c r="L15" s="19">
        <f>L13+L14</f>
        <v/>
      </c>
      <c r="M15" s="19">
        <f>M13+M14</f>
        <v/>
      </c>
      <c r="N15" s="19">
        <f>N13+N14</f>
        <v/>
      </c>
      <c r="O15" s="19">
        <f>O13+O14</f>
        <v/>
      </c>
      <c r="P15" s="19">
        <f>P13+P14</f>
        <v/>
      </c>
      <c r="Q15" s="19">
        <f>Q13+Q14</f>
        <v/>
      </c>
      <c r="R15" s="19">
        <f>R13+R14</f>
        <v/>
      </c>
      <c r="S15" s="19">
        <f>S13+S14</f>
        <v/>
      </c>
      <c r="T15" s="19">
        <f>T13+T14</f>
        <v/>
      </c>
      <c r="V15" s="16">
        <f>C15/C6</f>
        <v/>
      </c>
      <c r="W15" s="16">
        <f>D15/D6</f>
        <v/>
      </c>
      <c r="X15" s="16">
        <f>E15/E6</f>
        <v/>
      </c>
      <c r="Y15" s="16">
        <f>F15/F6</f>
        <v/>
      </c>
      <c r="Z15" s="16">
        <f>G15/G6</f>
        <v/>
      </c>
      <c r="AA15" s="16">
        <f>H15/H6</f>
        <v/>
      </c>
      <c r="AB15" s="16">
        <f>I15/I6</f>
        <v/>
      </c>
      <c r="AC15" s="16">
        <f>J15/J6</f>
        <v/>
      </c>
      <c r="AD15" s="16">
        <f>K15/K6</f>
        <v/>
      </c>
      <c r="AE15" s="16">
        <f>L15/L6</f>
        <v/>
      </c>
      <c r="AF15" s="16">
        <f>M15/M6</f>
        <v/>
      </c>
      <c r="AG15" s="16">
        <f>N15/N6</f>
        <v/>
      </c>
      <c r="AH15" s="16">
        <f>O15/O6</f>
        <v/>
      </c>
      <c r="AI15" s="16">
        <f>P15/P6</f>
        <v/>
      </c>
      <c r="AJ15" s="16">
        <f>Q15/Q6</f>
        <v/>
      </c>
      <c r="AK15" s="16">
        <f>R15/R6</f>
        <v/>
      </c>
      <c r="AL15" s="16">
        <f>S15/S6</f>
        <v/>
      </c>
      <c r="AM15" s="16">
        <f>T15/T6</f>
        <v/>
      </c>
    </row>
    <row r="17" ht="16" customHeight="1">
      <c r="A17" s="8" t="inlineStr">
        <is>
          <t>BALANCE GENERAL</t>
        </is>
      </c>
      <c r="B17" s="9" t="n"/>
      <c r="C17" s="9" t="n"/>
      <c r="D17" s="9" t="n"/>
      <c r="E17" s="9" t="n"/>
      <c r="F17" s="9" t="n"/>
      <c r="G17" s="9" t="n"/>
      <c r="H17" s="9" t="n"/>
      <c r="I17" s="9" t="n"/>
      <c r="J17" s="9" t="n"/>
      <c r="K17" s="9" t="n"/>
      <c r="L17" s="9" t="n"/>
      <c r="M17" s="9" t="n"/>
      <c r="N17" s="9" t="n"/>
      <c r="O17" s="9" t="n"/>
      <c r="P17" s="9" t="n"/>
      <c r="Q17" s="9" t="n"/>
      <c r="R17" s="9" t="n"/>
      <c r="S17" s="9" t="n"/>
      <c r="T17" s="9" t="n"/>
      <c r="U17" s="9" t="n"/>
      <c r="V17" s="9" t="n"/>
      <c r="W17" s="9" t="n"/>
      <c r="X17" s="9" t="n"/>
      <c r="Y17" s="9" t="n"/>
      <c r="Z17" s="9" t="n"/>
      <c r="AA17" s="9" t="n"/>
      <c r="AB17" s="9" t="n"/>
      <c r="AC17" s="9" t="n"/>
      <c r="AD17" s="9" t="n"/>
      <c r="AE17" s="9" t="n"/>
      <c r="AF17" s="9" t="n"/>
      <c r="AG17" s="9" t="n"/>
      <c r="AH17" s="9" t="n"/>
      <c r="AI17" s="9" t="n"/>
      <c r="AJ17" s="9" t="n"/>
      <c r="AK17" s="9" t="n"/>
      <c r="AL17" s="9" t="n"/>
      <c r="AM17" s="9" t="n"/>
    </row>
    <row r="18" ht="14" customHeight="1">
      <c r="A18" s="10" t="inlineStr">
        <is>
          <t>Efectivo y Equivalentes</t>
        </is>
      </c>
      <c r="C18" s="11" t="n">
        <v>62950</v>
      </c>
      <c r="D18" s="11" t="n">
        <v>33828</v>
      </c>
      <c r="E18" s="11" t="n">
        <v>114646</v>
      </c>
      <c r="F18" s="11" t="n">
        <v>231187</v>
      </c>
      <c r="G18" s="11" t="n">
        <v>73600</v>
      </c>
      <c r="H18" s="11" t="n">
        <v>61642</v>
      </c>
      <c r="I18" s="11" t="n">
        <v>155834</v>
      </c>
      <c r="J18" s="11" t="n">
        <v>334671</v>
      </c>
      <c r="K18" s="12">
        <f>J18</f>
        <v/>
      </c>
      <c r="L18" s="12">
        <f>K18</f>
        <v/>
      </c>
      <c r="M18" s="12">
        <f>L18</f>
        <v/>
      </c>
      <c r="N18" s="12">
        <f>M18</f>
        <v/>
      </c>
      <c r="O18" s="12">
        <f>N18</f>
        <v/>
      </c>
      <c r="P18" s="12">
        <f>O18</f>
        <v/>
      </c>
      <c r="Q18" s="12">
        <f>P18</f>
        <v/>
      </c>
      <c r="R18" s="12">
        <f>Q18</f>
        <v/>
      </c>
      <c r="S18" s="12">
        <f>R18</f>
        <v/>
      </c>
      <c r="T18" s="12">
        <f>S18</f>
        <v/>
      </c>
      <c r="V18" s="13">
        <f>C18/C22</f>
        <v/>
      </c>
      <c r="W18" s="13">
        <f>D18/D22</f>
        <v/>
      </c>
      <c r="X18" s="13">
        <f>E18/E22</f>
        <v/>
      </c>
      <c r="Y18" s="13">
        <f>F18/F22</f>
        <v/>
      </c>
      <c r="Z18" s="13">
        <f>G18/G22</f>
        <v/>
      </c>
      <c r="AA18" s="13">
        <f>H18/H22</f>
        <v/>
      </c>
      <c r="AB18" s="13">
        <f>I18/I22</f>
        <v/>
      </c>
      <c r="AC18" s="13">
        <f>J18/J22</f>
        <v/>
      </c>
      <c r="AD18" s="13">
        <f>K18/K22</f>
        <v/>
      </c>
      <c r="AE18" s="13">
        <f>L18/L22</f>
        <v/>
      </c>
      <c r="AF18" s="13">
        <f>M18/M22</f>
        <v/>
      </c>
      <c r="AG18" s="13">
        <f>N18/N22</f>
        <v/>
      </c>
      <c r="AH18" s="13">
        <f>O18/O22</f>
        <v/>
      </c>
      <c r="AI18" s="13">
        <f>P18/P22</f>
        <v/>
      </c>
      <c r="AJ18" s="13">
        <f>Q18/Q22</f>
        <v/>
      </c>
      <c r="AK18" s="13">
        <f>R18/R22</f>
        <v/>
      </c>
      <c r="AL18" s="13">
        <f>S18/S22</f>
        <v/>
      </c>
      <c r="AM18" s="13">
        <f>T18/T22</f>
        <v/>
      </c>
    </row>
    <row r="19" ht="14" customHeight="1">
      <c r="A19" s="10" t="inlineStr">
        <is>
          <t>Otros Activos Corrientes</t>
        </is>
      </c>
      <c r="C19" s="14" t="n">
        <v>275719</v>
      </c>
      <c r="D19" s="14" t="n">
        <v>445614</v>
      </c>
      <c r="E19" s="14" t="n">
        <v>179495</v>
      </c>
      <c r="F19" s="14" t="n">
        <v>159601</v>
      </c>
      <c r="G19" s="14" t="n">
        <v>151068</v>
      </c>
      <c r="H19" s="14" t="n">
        <v>146314</v>
      </c>
      <c r="I19" s="14" t="n">
        <v>139919</v>
      </c>
      <c r="J19" s="14" t="n">
        <v>155886</v>
      </c>
      <c r="K19" s="15">
        <f>K49+K24</f>
        <v/>
      </c>
      <c r="L19" s="15">
        <f>L49+L24</f>
        <v/>
      </c>
      <c r="M19" s="15">
        <f>M49+M24</f>
        <v/>
      </c>
      <c r="N19" s="15">
        <f>N49+N24</f>
        <v/>
      </c>
      <c r="O19" s="15">
        <f>O49+O24</f>
        <v/>
      </c>
      <c r="P19" s="15">
        <f>P49+P24</f>
        <v/>
      </c>
      <c r="Q19" s="15">
        <f>Q49+Q24</f>
        <v/>
      </c>
      <c r="R19" s="15">
        <f>R49+R24</f>
        <v/>
      </c>
      <c r="S19" s="15">
        <f>S49+S24</f>
        <v/>
      </c>
      <c r="T19" s="15">
        <f>T49+T24</f>
        <v/>
      </c>
      <c r="V19" s="16">
        <f>C19/C22</f>
        <v/>
      </c>
      <c r="W19" s="16">
        <f>D19/D22</f>
        <v/>
      </c>
      <c r="X19" s="16">
        <f>E19/E22</f>
        <v/>
      </c>
      <c r="Y19" s="16">
        <f>F19/F22</f>
        <v/>
      </c>
      <c r="Z19" s="16">
        <f>G19/G22</f>
        <v/>
      </c>
      <c r="AA19" s="16">
        <f>H19/H22</f>
        <v/>
      </c>
      <c r="AB19" s="16">
        <f>I19/I22</f>
        <v/>
      </c>
      <c r="AC19" s="16">
        <f>J19/J22</f>
        <v/>
      </c>
      <c r="AD19" s="16">
        <f>K19/K22</f>
        <v/>
      </c>
      <c r="AE19" s="16">
        <f>L19/L22</f>
        <v/>
      </c>
      <c r="AF19" s="16">
        <f>M19/M22</f>
        <v/>
      </c>
      <c r="AG19" s="16">
        <f>N19/N22</f>
        <v/>
      </c>
      <c r="AH19" s="16">
        <f>O19/O22</f>
        <v/>
      </c>
      <c r="AI19" s="16">
        <f>P19/P22</f>
        <v/>
      </c>
      <c r="AJ19" s="16">
        <f>Q19/Q22</f>
        <v/>
      </c>
      <c r="AK19" s="16">
        <f>R19/R22</f>
        <v/>
      </c>
      <c r="AL19" s="16">
        <f>S19/S22</f>
        <v/>
      </c>
      <c r="AM19" s="16">
        <f>T19/T22</f>
        <v/>
      </c>
    </row>
    <row r="20" ht="14" customHeight="1">
      <c r="A20" s="17" t="inlineStr">
        <is>
          <t>Total Activo Corriente</t>
        </is>
      </c>
      <c r="C20" s="18">
        <f>C18+C19</f>
        <v/>
      </c>
      <c r="D20" s="18">
        <f>D18+D19</f>
        <v/>
      </c>
      <c r="E20" s="18">
        <f>E18+E19</f>
        <v/>
      </c>
      <c r="F20" s="18">
        <f>F18+F19</f>
        <v/>
      </c>
      <c r="G20" s="18">
        <f>G18+G19</f>
        <v/>
      </c>
      <c r="H20" s="18">
        <f>H18+H19</f>
        <v/>
      </c>
      <c r="I20" s="18">
        <f>I18+I19</f>
        <v/>
      </c>
      <c r="J20" s="18">
        <f>J18+J19</f>
        <v/>
      </c>
      <c r="K20" s="18">
        <f>K18+K19</f>
        <v/>
      </c>
      <c r="L20" s="18">
        <f>L18+L19</f>
        <v/>
      </c>
      <c r="M20" s="18">
        <f>M18+M19</f>
        <v/>
      </c>
      <c r="N20" s="18">
        <f>N18+N19</f>
        <v/>
      </c>
      <c r="O20" s="18">
        <f>O18+O19</f>
        <v/>
      </c>
      <c r="P20" s="18">
        <f>P18+P19</f>
        <v/>
      </c>
      <c r="Q20" s="18">
        <f>Q18+Q19</f>
        <v/>
      </c>
      <c r="R20" s="18">
        <f>R18+R19</f>
        <v/>
      </c>
      <c r="S20" s="18">
        <f>S18+S19</f>
        <v/>
      </c>
      <c r="T20" s="18">
        <f>T18+T19</f>
        <v/>
      </c>
      <c r="V20" s="13">
        <f>C20/C22</f>
        <v/>
      </c>
      <c r="W20" s="13">
        <f>D20/D22</f>
        <v/>
      </c>
      <c r="X20" s="13">
        <f>E20/E22</f>
        <v/>
      </c>
      <c r="Y20" s="13">
        <f>F20/F22</f>
        <v/>
      </c>
      <c r="Z20" s="13">
        <f>G20/G22</f>
        <v/>
      </c>
      <c r="AA20" s="13">
        <f>H20/H22</f>
        <v/>
      </c>
      <c r="AB20" s="13">
        <f>I20/I22</f>
        <v/>
      </c>
      <c r="AC20" s="13">
        <f>J20/J22</f>
        <v/>
      </c>
      <c r="AD20" s="13">
        <f>K20/K22</f>
        <v/>
      </c>
      <c r="AE20" s="13">
        <f>L20/L22</f>
        <v/>
      </c>
      <c r="AF20" s="13">
        <f>M20/M22</f>
        <v/>
      </c>
      <c r="AG20" s="13">
        <f>N20/N22</f>
        <v/>
      </c>
      <c r="AH20" s="13">
        <f>O20/O22</f>
        <v/>
      </c>
      <c r="AI20" s="13">
        <f>P20/P22</f>
        <v/>
      </c>
      <c r="AJ20" s="13">
        <f>Q20/Q22</f>
        <v/>
      </c>
      <c r="AK20" s="13">
        <f>R20/R22</f>
        <v/>
      </c>
      <c r="AL20" s="13">
        <f>S20/S22</f>
        <v/>
      </c>
      <c r="AM20" s="13">
        <f>T20/T22</f>
        <v/>
      </c>
    </row>
    <row r="21" ht="14" customHeight="1">
      <c r="A21" s="10" t="inlineStr">
        <is>
          <t>Activos No Corrientes</t>
        </is>
      </c>
      <c r="C21" s="14" t="n">
        <v>1886321</v>
      </c>
      <c r="D21" s="14" t="n">
        <v>1681159</v>
      </c>
      <c r="E21" s="14" t="n">
        <v>1778801</v>
      </c>
      <c r="F21" s="14" t="n">
        <v>1774725</v>
      </c>
      <c r="G21" s="14" t="n">
        <v>1751220</v>
      </c>
      <c r="H21" s="14" t="n">
        <v>1667219</v>
      </c>
      <c r="I21" s="14" t="n">
        <v>1545073</v>
      </c>
      <c r="J21" s="14" t="n">
        <v>1709687</v>
      </c>
      <c r="K21" s="15">
        <f>J21+Supuestos!$C$11*K6-Supuestos!$C$10*K6</f>
        <v/>
      </c>
      <c r="L21" s="15">
        <f>K21+Supuestos!$C$11*L6-Supuestos!$C$10*L6</f>
        <v/>
      </c>
      <c r="M21" s="15">
        <f>L21+Supuestos!$C$11*M6-Supuestos!$C$10*M6</f>
        <v/>
      </c>
      <c r="N21" s="15">
        <f>M21+Supuestos!$C$11*N6-Supuestos!$C$10*N6</f>
        <v/>
      </c>
      <c r="O21" s="15">
        <f>N21+Supuestos!$C$11*O6-Supuestos!$C$10*O6</f>
        <v/>
      </c>
      <c r="P21" s="15">
        <f>O21+Supuestos!$C$11*P6-Supuestos!$C$10*P6</f>
        <v/>
      </c>
      <c r="Q21" s="15">
        <f>P21+Supuestos!$C$11*Q6-Supuestos!$C$10*Q6</f>
        <v/>
      </c>
      <c r="R21" s="15">
        <f>Q21+Supuestos!$C$11*R6-Supuestos!$C$10*R6</f>
        <v/>
      </c>
      <c r="S21" s="15">
        <f>R21+Supuestos!$C$11*S6-Supuestos!$C$10*S6</f>
        <v/>
      </c>
      <c r="T21" s="15">
        <f>S21+Supuestos!$C$11*T6-Supuestos!$C$10*T6</f>
        <v/>
      </c>
      <c r="V21" s="16">
        <f>C21/C22</f>
        <v/>
      </c>
      <c r="W21" s="16">
        <f>D21/D22</f>
        <v/>
      </c>
      <c r="X21" s="16">
        <f>E21/E22</f>
        <v/>
      </c>
      <c r="Y21" s="16">
        <f>F21/F22</f>
        <v/>
      </c>
      <c r="Z21" s="16">
        <f>G21/G22</f>
        <v/>
      </c>
      <c r="AA21" s="16">
        <f>H21/H22</f>
        <v/>
      </c>
      <c r="AB21" s="16">
        <f>I21/I22</f>
        <v/>
      </c>
      <c r="AC21" s="16">
        <f>J21/J22</f>
        <v/>
      </c>
      <c r="AD21" s="16">
        <f>K21/K22</f>
        <v/>
      </c>
      <c r="AE21" s="16">
        <f>L21/L22</f>
        <v/>
      </c>
      <c r="AF21" s="16">
        <f>M21/M22</f>
        <v/>
      </c>
      <c r="AG21" s="16">
        <f>N21/N22</f>
        <v/>
      </c>
      <c r="AH21" s="16">
        <f>O21/O22</f>
        <v/>
      </c>
      <c r="AI21" s="16">
        <f>P21/P22</f>
        <v/>
      </c>
      <c r="AJ21" s="16">
        <f>Q21/Q22</f>
        <v/>
      </c>
      <c r="AK21" s="16">
        <f>R21/R22</f>
        <v/>
      </c>
      <c r="AL21" s="16">
        <f>S21/S22</f>
        <v/>
      </c>
      <c r="AM21" s="16">
        <f>T21/T22</f>
        <v/>
      </c>
    </row>
    <row r="22" ht="14" customHeight="1">
      <c r="A22" s="17" t="inlineStr">
        <is>
          <t>TOTAL ACTIVOS</t>
        </is>
      </c>
      <c r="C22" s="18">
        <f>C20+C21</f>
        <v/>
      </c>
      <c r="D22" s="18">
        <f>D20+D21</f>
        <v/>
      </c>
      <c r="E22" s="18">
        <f>E20+E21</f>
        <v/>
      </c>
      <c r="F22" s="18">
        <f>F20+F21</f>
        <v/>
      </c>
      <c r="G22" s="18">
        <f>G20+G21</f>
        <v/>
      </c>
      <c r="H22" s="18">
        <f>H20+H21</f>
        <v/>
      </c>
      <c r="I22" s="18">
        <f>I20+I21</f>
        <v/>
      </c>
      <c r="J22" s="18">
        <f>J20+J21</f>
        <v/>
      </c>
      <c r="K22" s="18">
        <f>K20+K21</f>
        <v/>
      </c>
      <c r="L22" s="18">
        <f>L20+L21</f>
        <v/>
      </c>
      <c r="M22" s="18">
        <f>M20+M21</f>
        <v/>
      </c>
      <c r="N22" s="18">
        <f>N20+N21</f>
        <v/>
      </c>
      <c r="O22" s="18">
        <f>O20+O21</f>
        <v/>
      </c>
      <c r="P22" s="18">
        <f>P20+P21</f>
        <v/>
      </c>
      <c r="Q22" s="18">
        <f>Q20+Q21</f>
        <v/>
      </c>
      <c r="R22" s="18">
        <f>R20+R21</f>
        <v/>
      </c>
      <c r="S22" s="18">
        <f>S20+S21</f>
        <v/>
      </c>
      <c r="T22" s="18">
        <f>T20+T21</f>
        <v/>
      </c>
      <c r="V22" s="13">
        <f>C22/C22</f>
        <v/>
      </c>
      <c r="W22" s="13">
        <f>D22/D22</f>
        <v/>
      </c>
      <c r="X22" s="13">
        <f>E22/E22</f>
        <v/>
      </c>
      <c r="Y22" s="13">
        <f>F22/F22</f>
        <v/>
      </c>
      <c r="Z22" s="13">
        <f>G22/G22</f>
        <v/>
      </c>
      <c r="AA22" s="13">
        <f>H22/H22</f>
        <v/>
      </c>
      <c r="AB22" s="13">
        <f>I22/I22</f>
        <v/>
      </c>
      <c r="AC22" s="13">
        <f>J22/J22</f>
        <v/>
      </c>
      <c r="AD22" s="13">
        <f>K22/K22</f>
        <v/>
      </c>
      <c r="AE22" s="13">
        <f>L22/L22</f>
        <v/>
      </c>
      <c r="AF22" s="13">
        <f>M22/M22</f>
        <v/>
      </c>
      <c r="AG22" s="13">
        <f>N22/N22</f>
        <v/>
      </c>
      <c r="AH22" s="13">
        <f>O22/O22</f>
        <v/>
      </c>
      <c r="AI22" s="13">
        <f>P22/P22</f>
        <v/>
      </c>
      <c r="AJ22" s="13">
        <f>Q22/Q22</f>
        <v/>
      </c>
      <c r="AK22" s="13">
        <f>R22/R22</f>
        <v/>
      </c>
      <c r="AL22" s="13">
        <f>S22/S22</f>
        <v/>
      </c>
      <c r="AM22" s="13">
        <f>T22/T22</f>
        <v/>
      </c>
    </row>
    <row r="23" ht="14" customHeight="1">
      <c r="A23" s="10" t="inlineStr">
        <is>
          <t>Deuda Financiera CP</t>
        </is>
      </c>
      <c r="C23" s="14" t="n">
        <v>256883</v>
      </c>
      <c r="D23" s="14" t="n">
        <v>277883</v>
      </c>
      <c r="E23" s="14" t="n">
        <v>52286</v>
      </c>
      <c r="F23" s="14" t="n">
        <v>454553</v>
      </c>
      <c r="G23" s="14" t="n">
        <v>34895</v>
      </c>
      <c r="H23" s="14" t="n">
        <v>137372</v>
      </c>
      <c r="I23" s="14" t="n">
        <v>40701</v>
      </c>
      <c r="J23" s="14" t="n">
        <v>233481</v>
      </c>
      <c r="K23" s="15">
        <f>J23</f>
        <v/>
      </c>
      <c r="L23" s="15">
        <f>K23</f>
        <v/>
      </c>
      <c r="M23" s="15">
        <f>L23</f>
        <v/>
      </c>
      <c r="N23" s="15">
        <f>M23</f>
        <v/>
      </c>
      <c r="O23" s="15">
        <f>N23</f>
        <v/>
      </c>
      <c r="P23" s="15">
        <f>O23</f>
        <v/>
      </c>
      <c r="Q23" s="15">
        <f>P23</f>
        <v/>
      </c>
      <c r="R23" s="15">
        <f>Q23</f>
        <v/>
      </c>
      <c r="S23" s="15">
        <f>R23</f>
        <v/>
      </c>
      <c r="T23" s="15">
        <f>S23</f>
        <v/>
      </c>
      <c r="V23" s="16">
        <f>C23/C22</f>
        <v/>
      </c>
      <c r="W23" s="16">
        <f>D23/D22</f>
        <v/>
      </c>
      <c r="X23" s="16">
        <f>E23/E22</f>
        <v/>
      </c>
      <c r="Y23" s="16">
        <f>F23/F22</f>
        <v/>
      </c>
      <c r="Z23" s="16">
        <f>G23/G22</f>
        <v/>
      </c>
      <c r="AA23" s="16">
        <f>H23/H22</f>
        <v/>
      </c>
      <c r="AB23" s="16">
        <f>I23/I22</f>
        <v/>
      </c>
      <c r="AC23" s="16">
        <f>J23/J22</f>
        <v/>
      </c>
      <c r="AD23" s="16">
        <f>K23/K22</f>
        <v/>
      </c>
      <c r="AE23" s="16">
        <f>L23/L22</f>
        <v/>
      </c>
      <c r="AF23" s="16">
        <f>M23/M22</f>
        <v/>
      </c>
      <c r="AG23" s="16">
        <f>N23/N22</f>
        <v/>
      </c>
      <c r="AH23" s="16">
        <f>O23/O22</f>
        <v/>
      </c>
      <c r="AI23" s="16">
        <f>P23/P22</f>
        <v/>
      </c>
      <c r="AJ23" s="16">
        <f>Q23/Q22</f>
        <v/>
      </c>
      <c r="AK23" s="16">
        <f>R23/R22</f>
        <v/>
      </c>
      <c r="AL23" s="16">
        <f>S23/S22</f>
        <v/>
      </c>
      <c r="AM23" s="16">
        <f>T23/T22</f>
        <v/>
      </c>
    </row>
    <row r="24" ht="14" customHeight="1">
      <c r="A24" s="10" t="inlineStr">
        <is>
          <t>Otros Pasivos Corrientes</t>
        </is>
      </c>
      <c r="C24" s="11" t="n">
        <v>299547</v>
      </c>
      <c r="D24" s="11" t="n">
        <v>413589</v>
      </c>
      <c r="E24" s="11" t="n">
        <v>298593</v>
      </c>
      <c r="F24" s="11" t="n">
        <v>300381</v>
      </c>
      <c r="G24" s="11" t="n">
        <v>326108</v>
      </c>
      <c r="H24" s="11" t="n">
        <v>302729</v>
      </c>
      <c r="I24" s="11" t="n">
        <v>279623</v>
      </c>
      <c r="J24" s="11" t="n">
        <v>347834</v>
      </c>
      <c r="K24" s="12">
        <f>J24</f>
        <v/>
      </c>
      <c r="L24" s="12">
        <f>K24</f>
        <v/>
      </c>
      <c r="M24" s="12">
        <f>L24</f>
        <v/>
      </c>
      <c r="N24" s="12">
        <f>M24</f>
        <v/>
      </c>
      <c r="O24" s="12">
        <f>N24</f>
        <v/>
      </c>
      <c r="P24" s="12">
        <f>O24</f>
        <v/>
      </c>
      <c r="Q24" s="12">
        <f>P24</f>
        <v/>
      </c>
      <c r="R24" s="12">
        <f>Q24</f>
        <v/>
      </c>
      <c r="S24" s="12">
        <f>R24</f>
        <v/>
      </c>
      <c r="T24" s="12">
        <f>S24</f>
        <v/>
      </c>
      <c r="V24" s="13">
        <f>C24/C22</f>
        <v/>
      </c>
      <c r="W24" s="13">
        <f>D24/D22</f>
        <v/>
      </c>
      <c r="X24" s="13">
        <f>E24/E22</f>
        <v/>
      </c>
      <c r="Y24" s="13">
        <f>F24/F22</f>
        <v/>
      </c>
      <c r="Z24" s="13">
        <f>G24/G22</f>
        <v/>
      </c>
      <c r="AA24" s="13">
        <f>H24/H22</f>
        <v/>
      </c>
      <c r="AB24" s="13">
        <f>I24/I22</f>
        <v/>
      </c>
      <c r="AC24" s="13">
        <f>J24/J22</f>
        <v/>
      </c>
      <c r="AD24" s="13">
        <f>K24/K22</f>
        <v/>
      </c>
      <c r="AE24" s="13">
        <f>L24/L22</f>
        <v/>
      </c>
      <c r="AF24" s="13">
        <f>M24/M22</f>
        <v/>
      </c>
      <c r="AG24" s="13">
        <f>N24/N22</f>
        <v/>
      </c>
      <c r="AH24" s="13">
        <f>O24/O22</f>
        <v/>
      </c>
      <c r="AI24" s="13">
        <f>P24/P22</f>
        <v/>
      </c>
      <c r="AJ24" s="13">
        <f>Q24/Q22</f>
        <v/>
      </c>
      <c r="AK24" s="13">
        <f>R24/R22</f>
        <v/>
      </c>
      <c r="AL24" s="13">
        <f>S24/S22</f>
        <v/>
      </c>
      <c r="AM24" s="13">
        <f>T24/T22</f>
        <v/>
      </c>
    </row>
    <row r="25" ht="14" customHeight="1">
      <c r="A25" s="17" t="inlineStr">
        <is>
          <t>Total Pasivo Corriente</t>
        </is>
      </c>
      <c r="C25" s="19">
        <f>C23+C24</f>
        <v/>
      </c>
      <c r="D25" s="19">
        <f>D23+D24</f>
        <v/>
      </c>
      <c r="E25" s="19">
        <f>E23+E24</f>
        <v/>
      </c>
      <c r="F25" s="19">
        <f>F23+F24</f>
        <v/>
      </c>
      <c r="G25" s="19">
        <f>G23+G24</f>
        <v/>
      </c>
      <c r="H25" s="19">
        <f>H23+H24</f>
        <v/>
      </c>
      <c r="I25" s="19">
        <f>I23+I24</f>
        <v/>
      </c>
      <c r="J25" s="19">
        <f>J23+J24</f>
        <v/>
      </c>
      <c r="K25" s="19">
        <f>K23+K24</f>
        <v/>
      </c>
      <c r="L25" s="19">
        <f>L23+L24</f>
        <v/>
      </c>
      <c r="M25" s="19">
        <f>M23+M24</f>
        <v/>
      </c>
      <c r="N25" s="19">
        <f>N23+N24</f>
        <v/>
      </c>
      <c r="O25" s="19">
        <f>O23+O24</f>
        <v/>
      </c>
      <c r="P25" s="19">
        <f>P23+P24</f>
        <v/>
      </c>
      <c r="Q25" s="19">
        <f>Q23+Q24</f>
        <v/>
      </c>
      <c r="R25" s="19">
        <f>R23+R24</f>
        <v/>
      </c>
      <c r="S25" s="19">
        <f>S23+S24</f>
        <v/>
      </c>
      <c r="T25" s="19">
        <f>T23+T24</f>
        <v/>
      </c>
      <c r="V25" s="16">
        <f>C25/C22</f>
        <v/>
      </c>
      <c r="W25" s="16">
        <f>D25/D22</f>
        <v/>
      </c>
      <c r="X25" s="16">
        <f>E25/E22</f>
        <v/>
      </c>
      <c r="Y25" s="16">
        <f>F25/F22</f>
        <v/>
      </c>
      <c r="Z25" s="16">
        <f>G25/G22</f>
        <v/>
      </c>
      <c r="AA25" s="16">
        <f>H25/H22</f>
        <v/>
      </c>
      <c r="AB25" s="16">
        <f>I25/I22</f>
        <v/>
      </c>
      <c r="AC25" s="16">
        <f>J25/J22</f>
        <v/>
      </c>
      <c r="AD25" s="16">
        <f>K25/K22</f>
        <v/>
      </c>
      <c r="AE25" s="16">
        <f>L25/L22</f>
        <v/>
      </c>
      <c r="AF25" s="16">
        <f>M25/M22</f>
        <v/>
      </c>
      <c r="AG25" s="16">
        <f>N25/N22</f>
        <v/>
      </c>
      <c r="AH25" s="16">
        <f>O25/O22</f>
        <v/>
      </c>
      <c r="AI25" s="16">
        <f>P25/P22</f>
        <v/>
      </c>
      <c r="AJ25" s="16">
        <f>Q25/Q22</f>
        <v/>
      </c>
      <c r="AK25" s="16">
        <f>R25/R22</f>
        <v/>
      </c>
      <c r="AL25" s="16">
        <f>S25/S22</f>
        <v/>
      </c>
      <c r="AM25" s="16">
        <f>T25/T22</f>
        <v/>
      </c>
    </row>
    <row r="26" ht="14" customHeight="1">
      <c r="A26" s="10" t="inlineStr">
        <is>
          <t>Deuda Financiera LP (plug)</t>
        </is>
      </c>
      <c r="C26" s="11" t="n">
        <v>587764</v>
      </c>
      <c r="D26" s="11" t="n">
        <v>576322</v>
      </c>
      <c r="E26" s="11" t="n">
        <v>888615</v>
      </c>
      <c r="F26" s="11" t="n">
        <v>485311</v>
      </c>
      <c r="G26" s="11" t="n">
        <v>776771</v>
      </c>
      <c r="H26" s="11" t="n">
        <v>667543</v>
      </c>
      <c r="I26" s="11" t="n">
        <v>709060</v>
      </c>
      <c r="J26" s="11" t="n">
        <v>785087</v>
      </c>
      <c r="K26" s="12">
        <f>K22-K25-K27-K30</f>
        <v/>
      </c>
      <c r="L26" s="12">
        <f>L22-L25-L27-L30</f>
        <v/>
      </c>
      <c r="M26" s="12">
        <f>M22-M25-M27-M30</f>
        <v/>
      </c>
      <c r="N26" s="12">
        <f>N22-N25-N27-N30</f>
        <v/>
      </c>
      <c r="O26" s="12">
        <f>O22-O25-O27-O30</f>
        <v/>
      </c>
      <c r="P26" s="12">
        <f>P22-P25-P27-P30</f>
        <v/>
      </c>
      <c r="Q26" s="12">
        <f>Q22-Q25-Q27-Q30</f>
        <v/>
      </c>
      <c r="R26" s="12">
        <f>R22-R25-R27-R30</f>
        <v/>
      </c>
      <c r="S26" s="12">
        <f>S22-S25-S27-S30</f>
        <v/>
      </c>
      <c r="T26" s="12">
        <f>T22-T25-T27-T30</f>
        <v/>
      </c>
      <c r="V26" s="13">
        <f>C26/C22</f>
        <v/>
      </c>
      <c r="W26" s="13">
        <f>D26/D22</f>
        <v/>
      </c>
      <c r="X26" s="13">
        <f>E26/E22</f>
        <v/>
      </c>
      <c r="Y26" s="13">
        <f>F26/F22</f>
        <v/>
      </c>
      <c r="Z26" s="13">
        <f>G26/G22</f>
        <v/>
      </c>
      <c r="AA26" s="13">
        <f>H26/H22</f>
        <v/>
      </c>
      <c r="AB26" s="13">
        <f>I26/I22</f>
        <v/>
      </c>
      <c r="AC26" s="13">
        <f>J26/J22</f>
        <v/>
      </c>
      <c r="AD26" s="13">
        <f>K26/K22</f>
        <v/>
      </c>
      <c r="AE26" s="13">
        <f>L26/L22</f>
        <v/>
      </c>
      <c r="AF26" s="13">
        <f>M26/M22</f>
        <v/>
      </c>
      <c r="AG26" s="13">
        <f>N26/N22</f>
        <v/>
      </c>
      <c r="AH26" s="13">
        <f>O26/O22</f>
        <v/>
      </c>
      <c r="AI26" s="13">
        <f>P26/P22</f>
        <v/>
      </c>
      <c r="AJ26" s="13">
        <f>Q26/Q22</f>
        <v/>
      </c>
      <c r="AK26" s="13">
        <f>R26/R22</f>
        <v/>
      </c>
      <c r="AL26" s="13">
        <f>S26/S22</f>
        <v/>
      </c>
      <c r="AM26" s="13">
        <f>T26/T22</f>
        <v/>
      </c>
    </row>
    <row r="27" ht="14" customHeight="1">
      <c r="A27" s="10" t="inlineStr">
        <is>
          <t>Otros Pasivos No Corrientes</t>
        </is>
      </c>
      <c r="C27" s="14" t="n">
        <v>432643</v>
      </c>
      <c r="D27" s="14" t="n">
        <v>322078</v>
      </c>
      <c r="E27" s="14" t="n">
        <v>416527</v>
      </c>
      <c r="F27" s="14" t="n">
        <v>468601</v>
      </c>
      <c r="G27" s="14" t="n">
        <v>462761</v>
      </c>
      <c r="H27" s="14" t="n">
        <v>402933</v>
      </c>
      <c r="I27" s="14" t="n">
        <v>361744</v>
      </c>
      <c r="J27" s="14" t="n">
        <v>303371</v>
      </c>
      <c r="K27" s="15">
        <f>J27</f>
        <v/>
      </c>
      <c r="L27" s="15">
        <f>K27</f>
        <v/>
      </c>
      <c r="M27" s="15">
        <f>L27</f>
        <v/>
      </c>
      <c r="N27" s="15">
        <f>M27</f>
        <v/>
      </c>
      <c r="O27" s="15">
        <f>N27</f>
        <v/>
      </c>
      <c r="P27" s="15">
        <f>O27</f>
        <v/>
      </c>
      <c r="Q27" s="15">
        <f>P27</f>
        <v/>
      </c>
      <c r="R27" s="15">
        <f>Q27</f>
        <v/>
      </c>
      <c r="S27" s="15">
        <f>R27</f>
        <v/>
      </c>
      <c r="T27" s="15">
        <f>S27</f>
        <v/>
      </c>
      <c r="V27" s="16">
        <f>C27/C22</f>
        <v/>
      </c>
      <c r="W27" s="16">
        <f>D27/D22</f>
        <v/>
      </c>
      <c r="X27" s="16">
        <f>E27/E22</f>
        <v/>
      </c>
      <c r="Y27" s="16">
        <f>F27/F22</f>
        <v/>
      </c>
      <c r="Z27" s="16">
        <f>G27/G22</f>
        <v/>
      </c>
      <c r="AA27" s="16">
        <f>H27/H22</f>
        <v/>
      </c>
      <c r="AB27" s="16">
        <f>I27/I22</f>
        <v/>
      </c>
      <c r="AC27" s="16">
        <f>J27/J22</f>
        <v/>
      </c>
      <c r="AD27" s="16">
        <f>K27/K22</f>
        <v/>
      </c>
      <c r="AE27" s="16">
        <f>L27/L22</f>
        <v/>
      </c>
      <c r="AF27" s="16">
        <f>M27/M22</f>
        <v/>
      </c>
      <c r="AG27" s="16">
        <f>N27/N22</f>
        <v/>
      </c>
      <c r="AH27" s="16">
        <f>O27/O22</f>
        <v/>
      </c>
      <c r="AI27" s="16">
        <f>P27/P22</f>
        <v/>
      </c>
      <c r="AJ27" s="16">
        <f>Q27/Q22</f>
        <v/>
      </c>
      <c r="AK27" s="16">
        <f>R27/R22</f>
        <v/>
      </c>
      <c r="AL27" s="16">
        <f>S27/S22</f>
        <v/>
      </c>
      <c r="AM27" s="16">
        <f>T27/T22</f>
        <v/>
      </c>
    </row>
    <row r="28" ht="14" customHeight="1">
      <c r="A28" s="17" t="inlineStr">
        <is>
          <t>Total Pasivo No Corriente</t>
        </is>
      </c>
      <c r="C28" s="18">
        <f>C26+C27</f>
        <v/>
      </c>
      <c r="D28" s="18">
        <f>D26+D27</f>
        <v/>
      </c>
      <c r="E28" s="18">
        <f>E26+E27</f>
        <v/>
      </c>
      <c r="F28" s="18">
        <f>F26+F27</f>
        <v/>
      </c>
      <c r="G28" s="18">
        <f>G26+G27</f>
        <v/>
      </c>
      <c r="H28" s="18">
        <f>H26+H27</f>
        <v/>
      </c>
      <c r="I28" s="18">
        <f>I26+I27</f>
        <v/>
      </c>
      <c r="J28" s="18">
        <f>J26+J27</f>
        <v/>
      </c>
      <c r="K28" s="18">
        <f>K26+K27</f>
        <v/>
      </c>
      <c r="L28" s="18">
        <f>L26+L27</f>
        <v/>
      </c>
      <c r="M28" s="18">
        <f>M26+M27</f>
        <v/>
      </c>
      <c r="N28" s="18">
        <f>N26+N27</f>
        <v/>
      </c>
      <c r="O28" s="18">
        <f>O26+O27</f>
        <v/>
      </c>
      <c r="P28" s="18">
        <f>P26+P27</f>
        <v/>
      </c>
      <c r="Q28" s="18">
        <f>Q26+Q27</f>
        <v/>
      </c>
      <c r="R28" s="18">
        <f>R26+R27</f>
        <v/>
      </c>
      <c r="S28" s="18">
        <f>S26+S27</f>
        <v/>
      </c>
      <c r="T28" s="18">
        <f>T26+T27</f>
        <v/>
      </c>
      <c r="V28" s="13">
        <f>C28/C22</f>
        <v/>
      </c>
      <c r="W28" s="13">
        <f>D28/D22</f>
        <v/>
      </c>
      <c r="X28" s="13">
        <f>E28/E22</f>
        <v/>
      </c>
      <c r="Y28" s="13">
        <f>F28/F22</f>
        <v/>
      </c>
      <c r="Z28" s="13">
        <f>G28/G22</f>
        <v/>
      </c>
      <c r="AA28" s="13">
        <f>H28/H22</f>
        <v/>
      </c>
      <c r="AB28" s="13">
        <f>I28/I22</f>
        <v/>
      </c>
      <c r="AC28" s="13">
        <f>J28/J22</f>
        <v/>
      </c>
      <c r="AD28" s="13">
        <f>K28/K22</f>
        <v/>
      </c>
      <c r="AE28" s="13">
        <f>L28/L22</f>
        <v/>
      </c>
      <c r="AF28" s="13">
        <f>M28/M22</f>
        <v/>
      </c>
      <c r="AG28" s="13">
        <f>N28/N22</f>
        <v/>
      </c>
      <c r="AH28" s="13">
        <f>O28/O22</f>
        <v/>
      </c>
      <c r="AI28" s="13">
        <f>P28/P22</f>
        <v/>
      </c>
      <c r="AJ28" s="13">
        <f>Q28/Q22</f>
        <v/>
      </c>
      <c r="AK28" s="13">
        <f>R28/R22</f>
        <v/>
      </c>
      <c r="AL28" s="13">
        <f>S28/S22</f>
        <v/>
      </c>
      <c r="AM28" s="13">
        <f>T28/T22</f>
        <v/>
      </c>
    </row>
    <row r="29" ht="14" customHeight="1">
      <c r="A29" s="17" t="inlineStr">
        <is>
          <t>TOTAL PASIVOS</t>
        </is>
      </c>
      <c r="C29" s="19">
        <f>C25+C28</f>
        <v/>
      </c>
      <c r="D29" s="19">
        <f>D25+D28</f>
        <v/>
      </c>
      <c r="E29" s="19">
        <f>E25+E28</f>
        <v/>
      </c>
      <c r="F29" s="19">
        <f>F25+F28</f>
        <v/>
      </c>
      <c r="G29" s="19">
        <f>G25+G28</f>
        <v/>
      </c>
      <c r="H29" s="19">
        <f>H25+H28</f>
        <v/>
      </c>
      <c r="I29" s="19">
        <f>I25+I28</f>
        <v/>
      </c>
      <c r="J29" s="19">
        <f>J25+J28</f>
        <v/>
      </c>
      <c r="K29" s="19">
        <f>K25+K28</f>
        <v/>
      </c>
      <c r="L29" s="19">
        <f>L25+L28</f>
        <v/>
      </c>
      <c r="M29" s="19">
        <f>M25+M28</f>
        <v/>
      </c>
      <c r="N29" s="19">
        <f>N25+N28</f>
        <v/>
      </c>
      <c r="O29" s="19">
        <f>O25+O28</f>
        <v/>
      </c>
      <c r="P29" s="19">
        <f>P25+P28</f>
        <v/>
      </c>
      <c r="Q29" s="19">
        <f>Q25+Q28</f>
        <v/>
      </c>
      <c r="R29" s="19">
        <f>R25+R28</f>
        <v/>
      </c>
      <c r="S29" s="19">
        <f>S25+S28</f>
        <v/>
      </c>
      <c r="T29" s="19">
        <f>T25+T28</f>
        <v/>
      </c>
      <c r="V29" s="16">
        <f>C29/C22</f>
        <v/>
      </c>
      <c r="W29" s="16">
        <f>D29/D22</f>
        <v/>
      </c>
      <c r="X29" s="16">
        <f>E29/E22</f>
        <v/>
      </c>
      <c r="Y29" s="16">
        <f>F29/F22</f>
        <v/>
      </c>
      <c r="Z29" s="16">
        <f>G29/G22</f>
        <v/>
      </c>
      <c r="AA29" s="16">
        <f>H29/H22</f>
        <v/>
      </c>
      <c r="AB29" s="16">
        <f>I29/I22</f>
        <v/>
      </c>
      <c r="AC29" s="16">
        <f>J29/J22</f>
        <v/>
      </c>
      <c r="AD29" s="16">
        <f>K29/K22</f>
        <v/>
      </c>
      <c r="AE29" s="16">
        <f>L29/L22</f>
        <v/>
      </c>
      <c r="AF29" s="16">
        <f>M29/M22</f>
        <v/>
      </c>
      <c r="AG29" s="16">
        <f>N29/N22</f>
        <v/>
      </c>
      <c r="AH29" s="16">
        <f>O29/O22</f>
        <v/>
      </c>
      <c r="AI29" s="16">
        <f>P29/P22</f>
        <v/>
      </c>
      <c r="AJ29" s="16">
        <f>Q29/Q22</f>
        <v/>
      </c>
      <c r="AK29" s="16">
        <f>R29/R22</f>
        <v/>
      </c>
      <c r="AL29" s="16">
        <f>S29/S22</f>
        <v/>
      </c>
      <c r="AM29" s="16">
        <f>T29/T22</f>
        <v/>
      </c>
    </row>
    <row r="30" ht="14" customHeight="1">
      <c r="A30" s="10" t="inlineStr">
        <is>
          <t>Total Patrimonio</t>
        </is>
      </c>
      <c r="C30" s="11" t="n">
        <v>648153</v>
      </c>
      <c r="D30" s="11" t="n">
        <v>570729</v>
      </c>
      <c r="E30" s="11" t="n">
        <v>416921</v>
      </c>
      <c r="F30" s="11" t="n">
        <v>456667</v>
      </c>
      <c r="G30" s="11" t="n">
        <v>375353</v>
      </c>
      <c r="H30" s="11" t="n">
        <v>364598</v>
      </c>
      <c r="I30" s="11" t="n">
        <v>449698</v>
      </c>
      <c r="J30" s="11" t="n">
        <v>530471</v>
      </c>
      <c r="K30" s="12">
        <f>J30+K15*(1-Supuestos!$C$14)</f>
        <v/>
      </c>
      <c r="L30" s="12">
        <f>K30+L15*(1-Supuestos!$C$14)</f>
        <v/>
      </c>
      <c r="M30" s="12">
        <f>L30+M15*(1-Supuestos!$C$14)</f>
        <v/>
      </c>
      <c r="N30" s="12">
        <f>M30+N15*(1-Supuestos!$C$14)</f>
        <v/>
      </c>
      <c r="O30" s="12">
        <f>N30+O15*(1-Supuestos!$C$14)</f>
        <v/>
      </c>
      <c r="P30" s="12">
        <f>O30+P15*(1-Supuestos!$C$14)</f>
        <v/>
      </c>
      <c r="Q30" s="12">
        <f>P30+Q15*(1-Supuestos!$C$14)</f>
        <v/>
      </c>
      <c r="R30" s="12">
        <f>Q30+R15*(1-Supuestos!$C$14)</f>
        <v/>
      </c>
      <c r="S30" s="12">
        <f>R30+S15*(1-Supuestos!$C$14)</f>
        <v/>
      </c>
      <c r="T30" s="12">
        <f>S30+T15*(1-Supuestos!$C$14)</f>
        <v/>
      </c>
      <c r="V30" s="13">
        <f>C30/C22</f>
        <v/>
      </c>
      <c r="W30" s="13">
        <f>D30/D22</f>
        <v/>
      </c>
      <c r="X30" s="13">
        <f>E30/E22</f>
        <v/>
      </c>
      <c r="Y30" s="13">
        <f>F30/F22</f>
        <v/>
      </c>
      <c r="Z30" s="13">
        <f>G30/G22</f>
        <v/>
      </c>
      <c r="AA30" s="13">
        <f>H30/H22</f>
        <v/>
      </c>
      <c r="AB30" s="13">
        <f>I30/I22</f>
        <v/>
      </c>
      <c r="AC30" s="13">
        <f>J30/J22</f>
        <v/>
      </c>
      <c r="AD30" s="13">
        <f>K30/K22</f>
        <v/>
      </c>
      <c r="AE30" s="13">
        <f>L30/L22</f>
        <v/>
      </c>
      <c r="AF30" s="13">
        <f>M30/M22</f>
        <v/>
      </c>
      <c r="AG30" s="13">
        <f>N30/N22</f>
        <v/>
      </c>
      <c r="AH30" s="13">
        <f>O30/O22</f>
        <v/>
      </c>
      <c r="AI30" s="13">
        <f>P30/P22</f>
        <v/>
      </c>
      <c r="AJ30" s="13">
        <f>Q30/Q22</f>
        <v/>
      </c>
      <c r="AK30" s="13">
        <f>R30/R22</f>
        <v/>
      </c>
      <c r="AL30" s="13">
        <f>S30/S22</f>
        <v/>
      </c>
      <c r="AM30" s="13">
        <f>T30/T22</f>
        <v/>
      </c>
    </row>
    <row r="31" ht="14" customHeight="1">
      <c r="A31" s="17" t="inlineStr">
        <is>
          <t>TOTAL PASIVO Y PATRIMONIO</t>
        </is>
      </c>
      <c r="C31" s="19">
        <f>C29+C30</f>
        <v/>
      </c>
      <c r="D31" s="19">
        <f>D29+D30</f>
        <v/>
      </c>
      <c r="E31" s="19">
        <f>E29+E30</f>
        <v/>
      </c>
      <c r="F31" s="19">
        <f>F29+F30</f>
        <v/>
      </c>
      <c r="G31" s="19">
        <f>G29+G30</f>
        <v/>
      </c>
      <c r="H31" s="19">
        <f>H29+H30</f>
        <v/>
      </c>
      <c r="I31" s="19">
        <f>I29+I30</f>
        <v/>
      </c>
      <c r="J31" s="19">
        <f>J29+J30</f>
        <v/>
      </c>
      <c r="K31" s="19">
        <f>K29+K30</f>
        <v/>
      </c>
      <c r="L31" s="19">
        <f>L29+L30</f>
        <v/>
      </c>
      <c r="M31" s="19">
        <f>M29+M30</f>
        <v/>
      </c>
      <c r="N31" s="19">
        <f>N29+N30</f>
        <v/>
      </c>
      <c r="O31" s="19">
        <f>O29+O30</f>
        <v/>
      </c>
      <c r="P31" s="19">
        <f>P29+P30</f>
        <v/>
      </c>
      <c r="Q31" s="19">
        <f>Q29+Q30</f>
        <v/>
      </c>
      <c r="R31" s="19">
        <f>R29+R30</f>
        <v/>
      </c>
      <c r="S31" s="19">
        <f>S29+S30</f>
        <v/>
      </c>
      <c r="T31" s="19">
        <f>T29+T30</f>
        <v/>
      </c>
      <c r="V31" s="16">
        <f>C31/C22</f>
        <v/>
      </c>
      <c r="W31" s="16">
        <f>D31/D22</f>
        <v/>
      </c>
      <c r="X31" s="16">
        <f>E31/E22</f>
        <v/>
      </c>
      <c r="Y31" s="16">
        <f>F31/F22</f>
        <v/>
      </c>
      <c r="Z31" s="16">
        <f>G31/G22</f>
        <v/>
      </c>
      <c r="AA31" s="16">
        <f>H31/H22</f>
        <v/>
      </c>
      <c r="AB31" s="16">
        <f>I31/I22</f>
        <v/>
      </c>
      <c r="AC31" s="16">
        <f>J31/J22</f>
        <v/>
      </c>
      <c r="AD31" s="16">
        <f>K31/K22</f>
        <v/>
      </c>
      <c r="AE31" s="16">
        <f>L31/L22</f>
        <v/>
      </c>
      <c r="AF31" s="16">
        <f>M31/M22</f>
        <v/>
      </c>
      <c r="AG31" s="16">
        <f>N31/N22</f>
        <v/>
      </c>
      <c r="AH31" s="16">
        <f>O31/O22</f>
        <v/>
      </c>
      <c r="AI31" s="16">
        <f>P31/P22</f>
        <v/>
      </c>
      <c r="AJ31" s="16">
        <f>Q31/Q22</f>
        <v/>
      </c>
      <c r="AK31" s="16">
        <f>R31/R22</f>
        <v/>
      </c>
      <c r="AL31" s="16">
        <f>S31/S22</f>
        <v/>
      </c>
      <c r="AM31" s="16">
        <f>T31/T22</f>
        <v/>
      </c>
    </row>
    <row r="32" ht="14" customHeight="1">
      <c r="A32" s="10" t="inlineStr">
        <is>
          <t>Check: Activos − (Pasivos + Patrimonio)</t>
        </is>
      </c>
      <c r="C32" s="20">
        <f>C22-C31</f>
        <v/>
      </c>
      <c r="D32" s="20">
        <f>D22-D31</f>
        <v/>
      </c>
      <c r="E32" s="20">
        <f>E22-E31</f>
        <v/>
      </c>
      <c r="F32" s="20">
        <f>F22-F31</f>
        <v/>
      </c>
      <c r="G32" s="20">
        <f>G22-G31</f>
        <v/>
      </c>
      <c r="H32" s="20">
        <f>H22-H31</f>
        <v/>
      </c>
      <c r="I32" s="20">
        <f>I22-I31</f>
        <v/>
      </c>
      <c r="J32" s="20">
        <f>J22-J31</f>
        <v/>
      </c>
      <c r="K32" s="20">
        <f>K22-K31</f>
        <v/>
      </c>
      <c r="L32" s="20">
        <f>L22-L31</f>
        <v/>
      </c>
      <c r="M32" s="20">
        <f>M22-M31</f>
        <v/>
      </c>
      <c r="N32" s="20">
        <f>N22-N31</f>
        <v/>
      </c>
      <c r="O32" s="20">
        <f>O22-O31</f>
        <v/>
      </c>
      <c r="P32" s="20">
        <f>P22-P31</f>
        <v/>
      </c>
      <c r="Q32" s="20">
        <f>Q22-Q31</f>
        <v/>
      </c>
      <c r="R32" s="20">
        <f>R22-R31</f>
        <v/>
      </c>
      <c r="S32" s="20">
        <f>S22-S31</f>
        <v/>
      </c>
      <c r="T32" s="20">
        <f>T22-T31</f>
        <v/>
      </c>
    </row>
    <row r="33">
      <c r="A33" s="3" t="inlineStr">
        <is>
          <t>Plug del balance: Deuda Financiera LP. Si el plug resulta negativo, interpretar como caja excedente (se reduce la deuda). Mejora futura: mantener la estructura de capital y repartir la caja sobrante (no implementado).</t>
        </is>
      </c>
    </row>
    <row r="35" ht="16" customHeight="1">
      <c r="A35" s="8" t="inlineStr">
        <is>
          <t>FLUJO DE EFECTIVO (histórico, formato SMV)</t>
        </is>
      </c>
      <c r="B35" s="9" t="n"/>
      <c r="C35" s="9" t="n"/>
      <c r="D35" s="9" t="n"/>
      <c r="E35" s="9" t="n"/>
      <c r="F35" s="9" t="n"/>
      <c r="G35" s="9" t="n"/>
      <c r="H35" s="9" t="n"/>
      <c r="I35" s="9" t="n"/>
      <c r="J35" s="9" t="n"/>
      <c r="K35" s="9" t="n"/>
      <c r="L35" s="9" t="n"/>
      <c r="M35" s="9" t="n"/>
      <c r="N35" s="9" t="n"/>
      <c r="O35" s="9" t="n"/>
      <c r="P35" s="9" t="n"/>
      <c r="Q35" s="9" t="n"/>
      <c r="R35" s="9" t="n"/>
      <c r="S35" s="9" t="n"/>
      <c r="T35" s="9" t="n"/>
      <c r="U35" s="9" t="n"/>
      <c r="V35" s="9" t="n"/>
      <c r="W35" s="9" t="n"/>
      <c r="X35" s="9" t="n"/>
      <c r="Y35" s="9" t="n"/>
      <c r="Z35" s="9" t="n"/>
      <c r="AA35" s="9" t="n"/>
      <c r="AB35" s="9" t="n"/>
      <c r="AC35" s="9" t="n"/>
      <c r="AD35" s="9" t="n"/>
      <c r="AE35" s="9" t="n"/>
      <c r="AF35" s="9" t="n"/>
      <c r="AG35" s="9" t="n"/>
      <c r="AH35" s="9" t="n"/>
      <c r="AI35" s="9" t="n"/>
      <c r="AJ35" s="9" t="n"/>
      <c r="AK35" s="9" t="n"/>
      <c r="AL35" s="9" t="n"/>
      <c r="AM35" s="9" t="n"/>
    </row>
    <row r="36" ht="14" customHeight="1">
      <c r="A36" s="10" t="inlineStr">
        <is>
          <t>Flujo de Efectivo de Operación</t>
        </is>
      </c>
      <c r="C36" s="14" t="n">
        <v>260310</v>
      </c>
      <c r="D36" s="14" t="n">
        <v>216639</v>
      </c>
      <c r="E36" s="14" t="n">
        <v>170800</v>
      </c>
      <c r="F36" s="14" t="n">
        <v>365987</v>
      </c>
      <c r="G36" s="14" t="n">
        <v>265071</v>
      </c>
      <c r="H36" s="14" t="n">
        <v>248392</v>
      </c>
      <c r="I36" s="14" t="n">
        <v>298465</v>
      </c>
      <c r="J36" s="14" t="n">
        <v>404676</v>
      </c>
      <c r="K36" s="21" t="n"/>
      <c r="L36" s="21" t="n"/>
      <c r="M36" s="21" t="n"/>
      <c r="N36" s="21" t="n"/>
      <c r="O36" s="21" t="n"/>
      <c r="P36" s="21" t="n"/>
      <c r="Q36" s="21" t="n"/>
      <c r="R36" s="21" t="n"/>
      <c r="S36" s="21" t="n"/>
      <c r="T36" s="21" t="n"/>
    </row>
    <row r="37" ht="14" customHeight="1">
      <c r="A37" s="10" t="inlineStr">
        <is>
          <t>Compra de Propiedades, Planta y Equipo</t>
        </is>
      </c>
      <c r="C37" s="11" t="n">
        <v>-87341</v>
      </c>
      <c r="D37" s="11" t="n">
        <v>-89088</v>
      </c>
      <c r="E37" s="11" t="n">
        <v>-62382</v>
      </c>
      <c r="F37" s="11" t="n">
        <v>-94094</v>
      </c>
      <c r="G37" s="11" t="n">
        <v>-129346</v>
      </c>
      <c r="H37" s="11" t="n">
        <v>-85548</v>
      </c>
      <c r="I37" s="11" t="n">
        <v>-73027</v>
      </c>
      <c r="J37" s="11" t="n">
        <v>-148049</v>
      </c>
      <c r="K37" s="22" t="n"/>
      <c r="L37" s="22" t="n"/>
      <c r="M37" s="22" t="n"/>
      <c r="N37" s="22" t="n"/>
      <c r="O37" s="22" t="n"/>
      <c r="P37" s="22" t="n"/>
      <c r="Q37" s="22" t="n"/>
      <c r="R37" s="22" t="n"/>
      <c r="S37" s="22" t="n"/>
      <c r="T37" s="22" t="n"/>
    </row>
    <row r="38" ht="14" customHeight="1">
      <c r="A38" s="10" t="inlineStr">
        <is>
          <t>Compra de Activos Intangibles</t>
        </is>
      </c>
      <c r="C38" s="14" t="n">
        <v>-114522</v>
      </c>
      <c r="D38" s="14" t="n">
        <v>-82043</v>
      </c>
      <c r="E38" s="14" t="n">
        <v>-55032</v>
      </c>
      <c r="F38" s="14" t="n">
        <v>-80476</v>
      </c>
      <c r="G38" s="14" t="n">
        <v>-92468</v>
      </c>
      <c r="H38" s="14" t="n">
        <v>-94382</v>
      </c>
      <c r="I38" s="14" t="n">
        <v>-74857</v>
      </c>
      <c r="J38" s="14" t="n">
        <v>-94634</v>
      </c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</row>
    <row r="39" ht="14" customHeight="1">
      <c r="A39" s="10" t="inlineStr">
        <is>
          <t>Flujo de Efectivo de Inversión</t>
        </is>
      </c>
      <c r="C39" s="11" t="n">
        <v>-217391</v>
      </c>
      <c r="D39" s="11" t="n">
        <v>-171131</v>
      </c>
      <c r="E39" s="11" t="n">
        <v>-117414</v>
      </c>
      <c r="F39" s="11" t="n">
        <v>-173838</v>
      </c>
      <c r="G39" s="11" t="n">
        <v>-221814</v>
      </c>
      <c r="H39" s="11" t="n">
        <v>-179930</v>
      </c>
      <c r="I39" s="11" t="n">
        <v>-147884</v>
      </c>
      <c r="J39" s="11" t="n">
        <v>-247683</v>
      </c>
      <c r="K39" s="22" t="n"/>
      <c r="L39" s="22" t="n"/>
      <c r="M39" s="22" t="n"/>
      <c r="N39" s="22" t="n"/>
      <c r="O39" s="22" t="n"/>
      <c r="P39" s="22" t="n"/>
      <c r="Q39" s="22" t="n"/>
      <c r="R39" s="22" t="n"/>
      <c r="S39" s="22" t="n"/>
      <c r="T39" s="22" t="n"/>
    </row>
    <row r="40" ht="14" customHeight="1">
      <c r="A40" s="10" t="inlineStr">
        <is>
          <t>Dividendos Pagados</t>
        </is>
      </c>
      <c r="C40" s="14" t="n">
        <v>-14908</v>
      </c>
      <c r="D40" s="14" t="n">
        <v>-49</v>
      </c>
      <c r="E40" s="14" t="n">
        <v>0</v>
      </c>
      <c r="F40" s="14" t="n">
        <v>0</v>
      </c>
      <c r="G40" s="14" t="n">
        <v>0</v>
      </c>
      <c r="H40" s="14" t="n">
        <v>0</v>
      </c>
      <c r="I40" s="14" t="n">
        <v>0</v>
      </c>
      <c r="J40" s="14" t="n">
        <v>0</v>
      </c>
      <c r="K40" s="21" t="n"/>
      <c r="L40" s="21" t="n"/>
      <c r="M40" s="21" t="n"/>
      <c r="N40" s="21" t="n"/>
      <c r="O40" s="21" t="n"/>
      <c r="P40" s="21" t="n"/>
      <c r="Q40" s="21" t="n"/>
      <c r="R40" s="21" t="n"/>
      <c r="S40" s="21" t="n"/>
      <c r="T40" s="21" t="n"/>
    </row>
    <row r="41" ht="14" customHeight="1">
      <c r="A41" s="10" t="inlineStr">
        <is>
          <t>Obtención de Préstamos</t>
        </is>
      </c>
      <c r="C41" s="11" t="n">
        <v>223515</v>
      </c>
      <c r="D41" s="11" t="n">
        <v>327840</v>
      </c>
      <c r="E41" s="11" t="n">
        <v>419947</v>
      </c>
      <c r="F41" s="11" t="n">
        <v>469106</v>
      </c>
      <c r="G41" s="11" t="n">
        <v>396955</v>
      </c>
      <c r="H41" s="11" t="n">
        <v>0</v>
      </c>
      <c r="I41" s="11" t="n">
        <v>55000</v>
      </c>
      <c r="J41" s="11" t="n">
        <v>750000</v>
      </c>
      <c r="K41" s="22" t="n"/>
      <c r="L41" s="22" t="n"/>
      <c r="M41" s="22" t="n"/>
      <c r="N41" s="22" t="n"/>
      <c r="O41" s="22" t="n"/>
      <c r="P41" s="22" t="n"/>
      <c r="Q41" s="22" t="n"/>
      <c r="R41" s="22" t="n"/>
      <c r="S41" s="22" t="n"/>
      <c r="T41" s="22" t="n"/>
    </row>
    <row r="42" ht="14" customHeight="1">
      <c r="A42" s="10" t="inlineStr">
        <is>
          <t>Amortización de Préstamos</t>
        </is>
      </c>
      <c r="C42" s="14" t="n">
        <v>-244513</v>
      </c>
      <c r="D42" s="14" t="n">
        <v>-336371</v>
      </c>
      <c r="E42" s="14" t="n">
        <v>-309051</v>
      </c>
      <c r="F42" s="14" t="n">
        <v>-497615</v>
      </c>
      <c r="G42" s="14" t="n">
        <v>-543644</v>
      </c>
      <c r="H42" s="14" t="n">
        <v>-25389</v>
      </c>
      <c r="I42" s="14" t="n">
        <v>-124080</v>
      </c>
      <c r="J42" s="14" t="n">
        <v>-661788</v>
      </c>
      <c r="K42" s="21" t="n"/>
      <c r="L42" s="21" t="n"/>
      <c r="M42" s="21" t="n"/>
      <c r="N42" s="21" t="n"/>
      <c r="O42" s="21" t="n"/>
      <c r="P42" s="21" t="n"/>
      <c r="Q42" s="21" t="n"/>
      <c r="R42" s="21" t="n"/>
      <c r="S42" s="21" t="n"/>
      <c r="T42" s="21" t="n"/>
    </row>
    <row r="43" ht="14" customHeight="1">
      <c r="A43" s="10" t="inlineStr">
        <is>
          <t>Flujo de Efectivo de Financiación</t>
        </is>
      </c>
      <c r="C43" s="11" t="n">
        <v>-81798</v>
      </c>
      <c r="D43" s="11" t="n">
        <v>-74630</v>
      </c>
      <c r="E43" s="11" t="n">
        <v>27432</v>
      </c>
      <c r="F43" s="11" t="n">
        <v>-75608</v>
      </c>
      <c r="G43" s="11" t="n">
        <v>-200844</v>
      </c>
      <c r="H43" s="11" t="n">
        <v>-80420</v>
      </c>
      <c r="I43" s="11" t="n">
        <v>-56389</v>
      </c>
      <c r="J43" s="11" t="n">
        <v>17283</v>
      </c>
      <c r="K43" s="22" t="n"/>
      <c r="L43" s="22" t="n"/>
      <c r="M43" s="22" t="n"/>
      <c r="N43" s="22" t="n"/>
      <c r="O43" s="22" t="n"/>
      <c r="P43" s="22" t="n"/>
      <c r="Q43" s="22" t="n"/>
      <c r="R43" s="22" t="n"/>
      <c r="S43" s="22" t="n"/>
      <c r="T43" s="22" t="n"/>
    </row>
    <row r="44" ht="14" customHeight="1">
      <c r="A44" s="10" t="inlineStr">
        <is>
          <t>Aumento (Disminución) Neto de Efectivo</t>
        </is>
      </c>
      <c r="C44" s="14" t="n">
        <v>-38879</v>
      </c>
      <c r="D44" s="14" t="n">
        <v>-29122</v>
      </c>
      <c r="E44" s="14" t="n">
        <v>80818</v>
      </c>
      <c r="F44" s="14" t="n">
        <v>116541</v>
      </c>
      <c r="G44" s="14" t="n">
        <v>-157587</v>
      </c>
      <c r="H44" s="14" t="n">
        <v>-11958</v>
      </c>
      <c r="I44" s="14" t="n">
        <v>94192</v>
      </c>
      <c r="J44" s="14" t="n">
        <v>178837</v>
      </c>
      <c r="K44" s="21" t="n"/>
      <c r="L44" s="21" t="n"/>
      <c r="M44" s="21" t="n"/>
      <c r="N44" s="21" t="n"/>
      <c r="O44" s="21" t="n"/>
      <c r="P44" s="21" t="n"/>
      <c r="Q44" s="21" t="n"/>
      <c r="R44" s="21" t="n"/>
      <c r="S44" s="21" t="n"/>
      <c r="T44" s="21" t="n"/>
    </row>
    <row r="45" ht="14" customHeight="1">
      <c r="A45" s="17" t="inlineStr">
        <is>
          <t>Efectivo al Finalizar el Ejercicio</t>
        </is>
      </c>
      <c r="C45" s="18" t="n">
        <v>62950</v>
      </c>
      <c r="D45" s="18" t="n">
        <v>33828</v>
      </c>
      <c r="E45" s="18" t="n">
        <v>114646</v>
      </c>
      <c r="F45" s="18" t="n">
        <v>231187</v>
      </c>
      <c r="G45" s="18" t="n">
        <v>73600</v>
      </c>
      <c r="H45" s="18" t="n">
        <v>61642</v>
      </c>
      <c r="I45" s="18" t="n">
        <v>155834</v>
      </c>
      <c r="J45" s="18" t="n">
        <v>334671</v>
      </c>
      <c r="K45" s="22" t="n"/>
      <c r="L45" s="22" t="n"/>
      <c r="M45" s="22" t="n"/>
      <c r="N45" s="22" t="n"/>
      <c r="O45" s="22" t="n"/>
      <c r="P45" s="22" t="n"/>
      <c r="Q45" s="22" t="n"/>
      <c r="R45" s="22" t="n"/>
      <c r="S45" s="22" t="n"/>
      <c r="T45" s="22" t="n"/>
    </row>
    <row r="47" ht="16" customHeight="1">
      <c r="A47" s="8" t="inlineStr">
        <is>
          <t>FLUJO DE EFECTIVO PROYECTADO (indirecto simplificado)</t>
        </is>
      </c>
      <c r="B47" s="9" t="n"/>
      <c r="C47" s="9" t="n"/>
      <c r="D47" s="9" t="n"/>
      <c r="E47" s="9" t="n"/>
      <c r="F47" s="9" t="n"/>
      <c r="G47" s="9" t="n"/>
      <c r="H47" s="9" t="n"/>
      <c r="I47" s="9" t="n"/>
      <c r="J47" s="9" t="n"/>
      <c r="K47" s="9" t="n"/>
      <c r="L47" s="9" t="n"/>
      <c r="M47" s="9" t="n"/>
      <c r="N47" s="9" t="n"/>
      <c r="O47" s="9" t="n"/>
      <c r="P47" s="9" t="n"/>
      <c r="Q47" s="9" t="n"/>
      <c r="R47" s="9" t="n"/>
      <c r="S47" s="9" t="n"/>
      <c r="T47" s="9" t="n"/>
      <c r="U47" s="9" t="n"/>
      <c r="V47" s="9" t="n"/>
      <c r="W47" s="9" t="n"/>
      <c r="X47" s="9" t="n"/>
      <c r="Y47" s="9" t="n"/>
      <c r="Z47" s="9" t="n"/>
      <c r="AA47" s="9" t="n"/>
      <c r="AB47" s="9" t="n"/>
      <c r="AC47" s="9" t="n"/>
      <c r="AD47" s="9" t="n"/>
      <c r="AE47" s="9" t="n"/>
      <c r="AF47" s="9" t="n"/>
      <c r="AG47" s="9" t="n"/>
      <c r="AH47" s="9" t="n"/>
      <c r="AI47" s="9" t="n"/>
      <c r="AJ47" s="9" t="n"/>
      <c r="AK47" s="9" t="n"/>
      <c r="AL47" s="9" t="n"/>
      <c r="AM47" s="9" t="n"/>
    </row>
    <row r="48" ht="14" customHeight="1">
      <c r="A48" s="10" t="inlineStr">
        <is>
          <t>Δ Capital de Trabajo (ΔKW% × Ventas)</t>
        </is>
      </c>
      <c r="C48" s="21" t="n"/>
      <c r="D48" s="21" t="n"/>
      <c r="E48" s="21" t="n"/>
      <c r="F48" s="21" t="n"/>
      <c r="G48" s="21" t="n"/>
      <c r="H48" s="21" t="n"/>
      <c r="I48" s="21" t="n"/>
      <c r="J48" s="21" t="n"/>
      <c r="K48" s="15">
        <f>Supuestos!$C$12*K6</f>
        <v/>
      </c>
      <c r="L48" s="15">
        <f>Supuestos!$C$12*L6</f>
        <v/>
      </c>
      <c r="M48" s="15">
        <f>Supuestos!$C$12*M6</f>
        <v/>
      </c>
      <c r="N48" s="15">
        <f>Supuestos!$C$12*N6</f>
        <v/>
      </c>
      <c r="O48" s="15">
        <f>Supuestos!$C$12*O6</f>
        <v/>
      </c>
      <c r="P48" s="15">
        <f>Supuestos!$C$12*P6</f>
        <v/>
      </c>
      <c r="Q48" s="15">
        <f>Supuestos!$C$12*Q6</f>
        <v/>
      </c>
      <c r="R48" s="15">
        <f>Supuestos!$C$12*R6</f>
        <v/>
      </c>
      <c r="S48" s="15">
        <f>Supuestos!$C$12*S6</f>
        <v/>
      </c>
      <c r="T48" s="15">
        <f>Supuestos!$C$12*T6</f>
        <v/>
      </c>
    </row>
    <row r="49" ht="14" customHeight="1">
      <c r="A49" s="10" t="inlineStr">
        <is>
          <t>Capital de Trabajo Neto (nivel)</t>
        </is>
      </c>
      <c r="C49" s="22" t="n"/>
      <c r="D49" s="22" t="n"/>
      <c r="E49" s="22" t="n"/>
      <c r="F49" s="22" t="n"/>
      <c r="G49" s="22" t="n"/>
      <c r="H49" s="22" t="n"/>
      <c r="I49" s="22" t="n"/>
      <c r="J49" s="22" t="n"/>
      <c r="K49" s="12">
        <f>J19-J24+K48</f>
        <v/>
      </c>
      <c r="L49" s="12">
        <f>K49+L48</f>
        <v/>
      </c>
      <c r="M49" s="12">
        <f>L49+M48</f>
        <v/>
      </c>
      <c r="N49" s="12">
        <f>M49+N48</f>
        <v/>
      </c>
      <c r="O49" s="12">
        <f>N49+O48</f>
        <v/>
      </c>
      <c r="P49" s="12">
        <f>O49+P48</f>
        <v/>
      </c>
      <c r="Q49" s="12">
        <f>P49+Q48</f>
        <v/>
      </c>
      <c r="R49" s="12">
        <f>Q49+R48</f>
        <v/>
      </c>
      <c r="S49" s="12">
        <f>R49+S48</f>
        <v/>
      </c>
      <c r="T49" s="12">
        <f>S49+T48</f>
        <v/>
      </c>
    </row>
    <row r="50" ht="14" customHeight="1">
      <c r="A50" s="10" t="inlineStr">
        <is>
          <t>Utilidad Neta</t>
        </is>
      </c>
      <c r="C50" s="21" t="n"/>
      <c r="D50" s="21" t="n"/>
      <c r="E50" s="21" t="n"/>
      <c r="F50" s="21" t="n"/>
      <c r="G50" s="21" t="n"/>
      <c r="H50" s="21" t="n"/>
      <c r="I50" s="21" t="n"/>
      <c r="J50" s="21" t="n"/>
      <c r="K50" s="15">
        <f>K15</f>
        <v/>
      </c>
      <c r="L50" s="15">
        <f>L15</f>
        <v/>
      </c>
      <c r="M50" s="15">
        <f>M15</f>
        <v/>
      </c>
      <c r="N50" s="15">
        <f>N15</f>
        <v/>
      </c>
      <c r="O50" s="15">
        <f>O15</f>
        <v/>
      </c>
      <c r="P50" s="15">
        <f>P15</f>
        <v/>
      </c>
      <c r="Q50" s="15">
        <f>Q15</f>
        <v/>
      </c>
      <c r="R50" s="15">
        <f>R15</f>
        <v/>
      </c>
      <c r="S50" s="15">
        <f>S15</f>
        <v/>
      </c>
      <c r="T50" s="15">
        <f>T15</f>
        <v/>
      </c>
    </row>
    <row r="51" ht="14" customHeight="1">
      <c r="A51" s="10" t="inlineStr">
        <is>
          <t>(+) Depreciación y Amortización</t>
        </is>
      </c>
      <c r="C51" s="22" t="n"/>
      <c r="D51" s="22" t="n"/>
      <c r="E51" s="22" t="n"/>
      <c r="F51" s="22" t="n"/>
      <c r="G51" s="22" t="n"/>
      <c r="H51" s="22" t="n"/>
      <c r="I51" s="22" t="n"/>
      <c r="J51" s="22" t="n"/>
      <c r="K51" s="12">
        <f>Supuestos!$C$10*K6</f>
        <v/>
      </c>
      <c r="L51" s="12">
        <f>Supuestos!$C$10*L6</f>
        <v/>
      </c>
      <c r="M51" s="12">
        <f>Supuestos!$C$10*M6</f>
        <v/>
      </c>
      <c r="N51" s="12">
        <f>Supuestos!$C$10*N6</f>
        <v/>
      </c>
      <c r="O51" s="12">
        <f>Supuestos!$C$10*O6</f>
        <v/>
      </c>
      <c r="P51" s="12">
        <f>Supuestos!$C$10*P6</f>
        <v/>
      </c>
      <c r="Q51" s="12">
        <f>Supuestos!$C$10*Q6</f>
        <v/>
      </c>
      <c r="R51" s="12">
        <f>Supuestos!$C$10*R6</f>
        <v/>
      </c>
      <c r="S51" s="12">
        <f>Supuestos!$C$10*S6</f>
        <v/>
      </c>
      <c r="T51" s="12">
        <f>Supuestos!$C$10*T6</f>
        <v/>
      </c>
    </row>
    <row r="52" ht="14" customHeight="1">
      <c r="A52" s="10" t="inlineStr">
        <is>
          <t>(−) Aumento en Capital de Trabajo</t>
        </is>
      </c>
      <c r="C52" s="21" t="n"/>
      <c r="D52" s="21" t="n"/>
      <c r="E52" s="21" t="n"/>
      <c r="F52" s="21" t="n"/>
      <c r="G52" s="21" t="n"/>
      <c r="H52" s="21" t="n"/>
      <c r="I52" s="21" t="n"/>
      <c r="J52" s="21" t="n"/>
      <c r="K52" s="15">
        <f>-K48</f>
        <v/>
      </c>
      <c r="L52" s="15">
        <f>-L48</f>
        <v/>
      </c>
      <c r="M52" s="15">
        <f>-M48</f>
        <v/>
      </c>
      <c r="N52" s="15">
        <f>-N48</f>
        <v/>
      </c>
      <c r="O52" s="15">
        <f>-O48</f>
        <v/>
      </c>
      <c r="P52" s="15">
        <f>-P48</f>
        <v/>
      </c>
      <c r="Q52" s="15">
        <f>-Q48</f>
        <v/>
      </c>
      <c r="R52" s="15">
        <f>-R48</f>
        <v/>
      </c>
      <c r="S52" s="15">
        <f>-S48</f>
        <v/>
      </c>
      <c r="T52" s="15">
        <f>-T48</f>
        <v/>
      </c>
    </row>
    <row r="53" ht="14" customHeight="1">
      <c r="A53" s="17" t="inlineStr">
        <is>
          <t>Flujo de Operación</t>
        </is>
      </c>
      <c r="C53" s="22" t="n"/>
      <c r="D53" s="22" t="n"/>
      <c r="E53" s="22" t="n"/>
      <c r="F53" s="22" t="n"/>
      <c r="G53" s="22" t="n"/>
      <c r="H53" s="22" t="n"/>
      <c r="I53" s="22" t="n"/>
      <c r="J53" s="22" t="n"/>
      <c r="K53" s="18">
        <f>K50+K51+K52</f>
        <v/>
      </c>
      <c r="L53" s="18">
        <f>L50+L51+L52</f>
        <v/>
      </c>
      <c r="M53" s="18">
        <f>M50+M51+M52</f>
        <v/>
      </c>
      <c r="N53" s="18">
        <f>N50+N51+N52</f>
        <v/>
      </c>
      <c r="O53" s="18">
        <f>O50+O51+O52</f>
        <v/>
      </c>
      <c r="P53" s="18">
        <f>P50+P51+P52</f>
        <v/>
      </c>
      <c r="Q53" s="18">
        <f>Q50+Q51+Q52</f>
        <v/>
      </c>
      <c r="R53" s="18">
        <f>R50+R51+R52</f>
        <v/>
      </c>
      <c r="S53" s="18">
        <f>S50+S51+S52</f>
        <v/>
      </c>
      <c r="T53" s="18">
        <f>T50+T51+T52</f>
        <v/>
      </c>
    </row>
    <row r="54" ht="14" customHeight="1">
      <c r="A54" s="10" t="inlineStr">
        <is>
          <t>(−) Capex</t>
        </is>
      </c>
      <c r="C54" s="21" t="n"/>
      <c r="D54" s="21" t="n"/>
      <c r="E54" s="21" t="n"/>
      <c r="F54" s="21" t="n"/>
      <c r="G54" s="21" t="n"/>
      <c r="H54" s="21" t="n"/>
      <c r="I54" s="21" t="n"/>
      <c r="J54" s="21" t="n"/>
      <c r="K54" s="15">
        <f>-Supuestos!$C$11*K6</f>
        <v/>
      </c>
      <c r="L54" s="15">
        <f>-Supuestos!$C$11*L6</f>
        <v/>
      </c>
      <c r="M54" s="15">
        <f>-Supuestos!$C$11*M6</f>
        <v/>
      </c>
      <c r="N54" s="15">
        <f>-Supuestos!$C$11*N6</f>
        <v/>
      </c>
      <c r="O54" s="15">
        <f>-Supuestos!$C$11*O6</f>
        <v/>
      </c>
      <c r="P54" s="15">
        <f>-Supuestos!$C$11*P6</f>
        <v/>
      </c>
      <c r="Q54" s="15">
        <f>-Supuestos!$C$11*Q6</f>
        <v/>
      </c>
      <c r="R54" s="15">
        <f>-Supuestos!$C$11*R6</f>
        <v/>
      </c>
      <c r="S54" s="15">
        <f>-Supuestos!$C$11*S6</f>
        <v/>
      </c>
      <c r="T54" s="15">
        <f>-Supuestos!$C$11*T6</f>
        <v/>
      </c>
    </row>
    <row r="55" ht="14" customHeight="1">
      <c r="A55" s="17" t="inlineStr">
        <is>
          <t>Flujo de Inversión</t>
        </is>
      </c>
      <c r="C55" s="22" t="n"/>
      <c r="D55" s="22" t="n"/>
      <c r="E55" s="22" t="n"/>
      <c r="F55" s="22" t="n"/>
      <c r="G55" s="22" t="n"/>
      <c r="H55" s="22" t="n"/>
      <c r="I55" s="22" t="n"/>
      <c r="J55" s="22" t="n"/>
      <c r="K55" s="18">
        <f>K54</f>
        <v/>
      </c>
      <c r="L55" s="18">
        <f>L54</f>
        <v/>
      </c>
      <c r="M55" s="18">
        <f>M54</f>
        <v/>
      </c>
      <c r="N55" s="18">
        <f>N54</f>
        <v/>
      </c>
      <c r="O55" s="18">
        <f>O54</f>
        <v/>
      </c>
      <c r="P55" s="18">
        <f>P54</f>
        <v/>
      </c>
      <c r="Q55" s="18">
        <f>Q54</f>
        <v/>
      </c>
      <c r="R55" s="18">
        <f>R54</f>
        <v/>
      </c>
      <c r="S55" s="18">
        <f>S54</f>
        <v/>
      </c>
      <c r="T55" s="18">
        <f>T54</f>
        <v/>
      </c>
    </row>
    <row r="56" ht="14" customHeight="1">
      <c r="A56" s="10" t="inlineStr">
        <is>
          <t>Dividendos Pagados</t>
        </is>
      </c>
      <c r="C56" s="21" t="n"/>
      <c r="D56" s="21" t="n"/>
      <c r="E56" s="21" t="n"/>
      <c r="F56" s="21" t="n"/>
      <c r="G56" s="21" t="n"/>
      <c r="H56" s="21" t="n"/>
      <c r="I56" s="21" t="n"/>
      <c r="J56" s="21" t="n"/>
      <c r="K56" s="15">
        <f>-Supuestos!$C$14*K15</f>
        <v/>
      </c>
      <c r="L56" s="15">
        <f>-Supuestos!$C$14*L15</f>
        <v/>
      </c>
      <c r="M56" s="15">
        <f>-Supuestos!$C$14*M15</f>
        <v/>
      </c>
      <c r="N56" s="15">
        <f>-Supuestos!$C$14*N15</f>
        <v/>
      </c>
      <c r="O56" s="15">
        <f>-Supuestos!$C$14*O15</f>
        <v/>
      </c>
      <c r="P56" s="15">
        <f>-Supuestos!$C$14*P15</f>
        <v/>
      </c>
      <c r="Q56" s="15">
        <f>-Supuestos!$C$14*Q15</f>
        <v/>
      </c>
      <c r="R56" s="15">
        <f>-Supuestos!$C$14*R15</f>
        <v/>
      </c>
      <c r="S56" s="15">
        <f>-Supuestos!$C$14*S15</f>
        <v/>
      </c>
      <c r="T56" s="15">
        <f>-Supuestos!$C$14*T15</f>
        <v/>
      </c>
    </row>
    <row r="57" ht="14" customHeight="1">
      <c r="A57" s="10" t="inlineStr">
        <is>
          <t>Δ Deuda Financiera Neta (plug)</t>
        </is>
      </c>
      <c r="C57" s="22" t="n"/>
      <c r="D57" s="22" t="n"/>
      <c r="E57" s="22" t="n"/>
      <c r="F57" s="22" t="n"/>
      <c r="G57" s="22" t="n"/>
      <c r="H57" s="22" t="n"/>
      <c r="I57" s="22" t="n"/>
      <c r="J57" s="22" t="n"/>
      <c r="K57" s="12">
        <f>K26-J26</f>
        <v/>
      </c>
      <c r="L57" s="12">
        <f>L26-K26</f>
        <v/>
      </c>
      <c r="M57" s="12">
        <f>M26-L26</f>
        <v/>
      </c>
      <c r="N57" s="12">
        <f>N26-M26</f>
        <v/>
      </c>
      <c r="O57" s="12">
        <f>O26-N26</f>
        <v/>
      </c>
      <c r="P57" s="12">
        <f>P26-O26</f>
        <v/>
      </c>
      <c r="Q57" s="12">
        <f>Q26-P26</f>
        <v/>
      </c>
      <c r="R57" s="12">
        <f>R26-Q26</f>
        <v/>
      </c>
      <c r="S57" s="12">
        <f>S26-R26</f>
        <v/>
      </c>
      <c r="T57" s="12">
        <f>T26-S26</f>
        <v/>
      </c>
    </row>
    <row r="58" ht="14" customHeight="1">
      <c r="A58" s="17" t="inlineStr">
        <is>
          <t>Flujo de Financiación</t>
        </is>
      </c>
      <c r="C58" s="21" t="n"/>
      <c r="D58" s="21" t="n"/>
      <c r="E58" s="21" t="n"/>
      <c r="F58" s="21" t="n"/>
      <c r="G58" s="21" t="n"/>
      <c r="H58" s="21" t="n"/>
      <c r="I58" s="21" t="n"/>
      <c r="J58" s="21" t="n"/>
      <c r="K58" s="19">
        <f>K56+K57</f>
        <v/>
      </c>
      <c r="L58" s="19">
        <f>L56+L57</f>
        <v/>
      </c>
      <c r="M58" s="19">
        <f>M56+M57</f>
        <v/>
      </c>
      <c r="N58" s="19">
        <f>N56+N57</f>
        <v/>
      </c>
      <c r="O58" s="19">
        <f>O56+O57</f>
        <v/>
      </c>
      <c r="P58" s="19">
        <f>P56+P57</f>
        <v/>
      </c>
      <c r="Q58" s="19">
        <f>Q56+Q57</f>
        <v/>
      </c>
      <c r="R58" s="19">
        <f>R56+R57</f>
        <v/>
      </c>
      <c r="S58" s="19">
        <f>S56+S57</f>
        <v/>
      </c>
      <c r="T58" s="19">
        <f>T56+T57</f>
        <v/>
      </c>
    </row>
    <row r="59" ht="14" customHeight="1">
      <c r="A59" s="10" t="inlineStr">
        <is>
          <t>Variación Neta de Efectivo (check = 0)</t>
        </is>
      </c>
      <c r="C59" s="20" t="n"/>
      <c r="D59" s="20" t="n"/>
      <c r="E59" s="20" t="n"/>
      <c r="F59" s="20" t="n"/>
      <c r="G59" s="20" t="n"/>
      <c r="H59" s="20" t="n"/>
      <c r="I59" s="20" t="n"/>
      <c r="J59" s="20" t="n"/>
      <c r="K59" s="20">
        <f>K53+K55+K58</f>
        <v/>
      </c>
      <c r="L59" s="20">
        <f>L53+L55+L58</f>
        <v/>
      </c>
      <c r="M59" s="20">
        <f>M53+M55+M58</f>
        <v/>
      </c>
      <c r="N59" s="20">
        <f>N53+N55+N58</f>
        <v/>
      </c>
      <c r="O59" s="20">
        <f>O53+O55+O58</f>
        <v/>
      </c>
      <c r="P59" s="20">
        <f>P53+P55+P58</f>
        <v/>
      </c>
      <c r="Q59" s="20">
        <f>Q53+Q55+Q58</f>
        <v/>
      </c>
      <c r="R59" s="20">
        <f>R53+R55+R58</f>
        <v/>
      </c>
      <c r="S59" s="20">
        <f>S53+S55+S58</f>
        <v/>
      </c>
      <c r="T59" s="20">
        <f>T53+T55+T58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5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0" customWidth="1" min="1" max="1"/>
    <col width="2" customWidth="1" min="2" max="2"/>
    <col width="12" customWidth="1" min="3" max="3"/>
    <col width="68" customWidth="1" min="4" max="4"/>
  </cols>
  <sheetData>
    <row r="1" ht="22" customHeight="1">
      <c r="A1" s="1" t="inlineStr">
        <is>
          <t>Supuestos — VOLCAN COMPAÑIA MINERA S.A.A.</t>
        </is>
      </c>
      <c r="B1" s="2" t="n"/>
      <c r="C1" s="2" t="n"/>
      <c r="D1" s="2" t="n"/>
    </row>
    <row r="2">
      <c r="A2" s="3" t="inlineStr">
        <is>
          <t>Única hoja editable: las celdas azules son inputs; las negras son fórmulas por componentes (sobreescribibles). Defaults sujetos a revisión.</t>
        </is>
      </c>
    </row>
    <row r="4">
      <c r="A4" s="5" t="inlineStr">
        <is>
          <t>Supuesto</t>
        </is>
      </c>
      <c r="B4" s="23" t="n"/>
      <c r="C4" s="6" t="inlineStr">
        <is>
          <t>Valor</t>
        </is>
      </c>
      <c r="D4" s="5" t="inlineStr">
        <is>
          <t>Nota / fuente</t>
        </is>
      </c>
    </row>
    <row r="6">
      <c r="A6" s="24" t="inlineStr">
        <is>
          <t>Operativos</t>
        </is>
      </c>
      <c r="B6" s="9" t="n"/>
      <c r="C6" s="9" t="n"/>
      <c r="D6" s="9" t="n"/>
    </row>
    <row r="7">
      <c r="A7" s="25" t="inlineStr">
        <is>
          <t>Crecimiento de ventas (g)</t>
        </is>
      </c>
      <c r="C7" s="26">
        <f>MAX(-0.15,MIN(0.25,(EEFF!J6/EEFF!C6)^(1/7)-1))</f>
        <v/>
      </c>
      <c r="D7" s="27" t="inlineStr">
        <is>
          <t>Fórmula viva: CAGR histórico de ventas (años disponibles), tope −15%/+25%; sobreescribible</t>
        </is>
      </c>
    </row>
    <row r="8">
      <c r="A8" s="25" t="inlineStr">
        <is>
          <t>Costo de ventas % de ventas</t>
        </is>
      </c>
      <c r="C8" s="26">
        <f>AVERAGE(ABS(EEFF!C7)/EEFF!C6,ABS(EEFF!D7)/EEFF!D6,ABS(EEFF!E7)/EEFF!E6,ABS(EEFF!F7)/EEFF!F6,ABS(EEFF!G7)/EEFF!G6,ABS(EEFF!H7)/EEFF!H6,ABS(EEFF!I7)/EEFF!I6,ABS(EEFF!J7)/EEFF!J6)</f>
        <v/>
      </c>
      <c r="D8" s="27" t="inlineStr">
        <is>
          <t>Fórmula viva: promedio histórico |costo| / ventas</t>
        </is>
      </c>
    </row>
    <row r="9">
      <c r="A9" s="25" t="inlineStr">
        <is>
          <t>Gastos adm. y ventas % de ventas</t>
        </is>
      </c>
      <c r="C9" s="26">
        <f>AVERAGE(ABS(EEFF!C9)/EEFF!C6,ABS(EEFF!D9)/EEFF!D6,ABS(EEFF!E9)/EEFF!E6,ABS(EEFF!F9)/EEFF!F6,ABS(EEFF!G9)/EEFF!G6,ABS(EEFF!H9)/EEFF!H6,ABS(EEFF!I9)/EEFF!I6,ABS(EEFF!J9)/EEFF!J6)</f>
        <v/>
      </c>
      <c r="D9" s="27" t="inlineStr">
        <is>
          <t>Fórmula viva: promedio histórico |gastos| / ventas</t>
        </is>
      </c>
    </row>
    <row r="10">
      <c r="A10" s="25" t="inlineStr">
        <is>
          <t>D&amp;A % de ventas</t>
        </is>
      </c>
      <c r="C10" s="28" t="n">
        <v>0.2029773425047448</v>
      </c>
      <c r="D10" s="27" t="inlineStr">
        <is>
          <t>D&amp;A 2024 = 194,964 miles (operaciones continuas) del EEFF auditado (prototipo_auditado_VOLCAN_2024.json, doble ruta cuadrada) ÷ ventas 2024; editable</t>
        </is>
      </c>
    </row>
    <row r="11">
      <c r="A11" s="25" t="inlineStr">
        <is>
          <t>Capex % de ventas</t>
        </is>
      </c>
      <c r="C11" s="26">
        <f>AVERAGE((ABS(EEFF!C37)+ABS(EEFF!C38))/EEFF!C6,(ABS(EEFF!D37)+ABS(EEFF!D38))/EEFF!D6,(ABS(EEFF!E37)+ABS(EEFF!E38))/EEFF!E6,(ABS(EEFF!F37)+ABS(EEFF!F38))/EEFF!F6,(ABS(EEFF!G37)+ABS(EEFF!G38))/EEFF!G6,(ABS(EEFF!H37)+ABS(EEFF!H38))/EEFF!H6,(ABS(EEFF!I37)+ABS(EEFF!I38))/EEFF!I6,(ABS(EEFF!J37)+ABS(EEFF!J38))/EEFF!J6)</f>
        <v/>
      </c>
      <c r="D11" s="27" t="inlineStr">
        <is>
          <t>Fórmula viva: promedio histórico |compras PPE + intangibles| / ventas</t>
        </is>
      </c>
    </row>
    <row r="12">
      <c r="A12" s="25" t="inlineStr">
        <is>
          <t>Δ Capital de trabajo % de ventas</t>
        </is>
      </c>
      <c r="C12" s="26">
        <f>AVERAGE(((EEFF!D19-EEFF!D24)-(EEFF!C19-EEFF!C24))/EEFF!D6,((EEFF!E19-EEFF!E24)-(EEFF!D19-EEFF!D24))/EEFF!E6,((EEFF!F19-EEFF!F24)-(EEFF!E19-EEFF!E24))/EEFF!F6,((EEFF!G19-EEFF!G24)-(EEFF!F19-EEFF!F24))/EEFF!G6,((EEFF!H19-EEFF!H24)-(EEFF!G19-EEFF!G24))/EEFF!H6,((EEFF!I19-EEFF!I24)-(EEFF!H19-EEFF!H24))/EEFF!I6,((EEFF!J19-EEFF!J24)-(EEFF!I19-EEFF!I24))/EEFF!J6)</f>
        <v/>
      </c>
      <c r="D12" s="27" t="inlineStr">
        <is>
          <t>Fórmula viva: promedio histórico ΔKW / ventas (años consecutivos)</t>
        </is>
      </c>
    </row>
    <row r="13">
      <c r="A13" s="25" t="inlineStr">
        <is>
          <t>Tasa impositiva efectiva (para proyección EGP)</t>
        </is>
      </c>
      <c r="C13" s="26">
        <f>MAX(0,MIN(0.5,AVERAGE(ABS(EEFF!C14)/EEFF!C13,ABS(EEFF!F14)/EEFF!F13,ABS(EEFF!I14)/EEFF!I13,ABS(EEFF!J14)/EEFF!J13)))</f>
        <v/>
      </c>
      <c r="D13" s="27" t="inlineStr">
        <is>
          <t>Fórmula viva: promedio histórico |impuesto| / UAI, tope 0-50%</t>
        </is>
      </c>
    </row>
    <row r="14">
      <c r="A14" s="25" t="inlineStr">
        <is>
          <t>Payout de dividendos</t>
        </is>
      </c>
      <c r="C14" s="26">
        <f>MAX(0,MIN(1,AVERAGE(ABS(EEFF!C40)/EEFF!C15,ABS(EEFF!F40)/EEFF!F15,ABS(EEFF!I40)/EEFF!I15,ABS(EEFF!J40)/EEFF!J15)))</f>
        <v/>
      </c>
      <c r="D14" s="27" t="inlineStr">
        <is>
          <t>Fórmula viva: promedio histórico |dividendos| / utilidad neta</t>
        </is>
      </c>
    </row>
    <row r="15">
      <c r="A15" s="25" t="inlineStr">
        <is>
          <t>ROE promedio histórico</t>
        </is>
      </c>
      <c r="C15" s="26">
        <f>AVERAGE(EEFF!C15/EEFF!C30,EEFF!D15/EEFF!D30,EEFF!E15/EEFF!E30,EEFF!F15/EEFF!F30,EEFF!G15/EEFF!G30,EEFF!H15/EEFF!H30,EEFF!I15/EEFF!I30,EEFF!J15/EEFF!J30)</f>
        <v/>
      </c>
      <c r="D15" s="27" t="inlineStr">
        <is>
          <t>Fórmula viva: promedio histórico utilidad neta / patrimonio; insumo del g de dividendos (DDM)</t>
        </is>
      </c>
    </row>
    <row r="16">
      <c r="A16" s="25" t="inlineStr">
        <is>
          <t>g dividendos = ROE × (1 − payout)</t>
        </is>
      </c>
      <c r="C16" s="26">
        <f>Supuestos!$C$15*(1-Supuestos!$C$14)</f>
        <v/>
      </c>
      <c r="D16" s="27" t="inlineStr">
        <is>
          <t>Crecimiento fundamental de dividendos para el DDM (Gordon); sobreescribible</t>
        </is>
      </c>
    </row>
    <row r="18">
      <c r="A18" s="24" t="inlineStr">
        <is>
          <t>Descuento — CAPM/WACC por componentes (fuentes: misma metodología valorización PANASA; defaults jul-2026, sujetos a revisión)</t>
        </is>
      </c>
      <c r="B18" s="9" t="n"/>
      <c r="C18" s="9" t="n"/>
      <c r="D18" s="9" t="n"/>
    </row>
    <row r="19">
      <c r="A19" s="25" t="inlineStr">
        <is>
          <t>Tasa libre de riesgo (rf)</t>
        </is>
      </c>
      <c r="C19" s="29" t="n">
        <v>0.0455</v>
      </c>
      <c r="D19" s="27" t="inlineStr">
        <is>
          <t>US Treasury 10Y — fuente: investing.com (capturado 15-jul-2026)</t>
        </is>
      </c>
    </row>
    <row r="20">
      <c r="A20" s="25" t="inlineStr">
        <is>
          <t>EMBIG Perú (riesgo país)</t>
        </is>
      </c>
      <c r="C20" s="29" t="n">
        <v>0.0103</v>
      </c>
      <c r="D20" s="27" t="inlineStr">
        <is>
          <t>Fuente: BCRP serie PD04709XD (jul-2026)</t>
        </is>
      </c>
    </row>
    <row r="21">
      <c r="A21" s="25" t="inlineStr">
        <is>
          <t>Ratio σ acciones / σ bonos</t>
        </is>
      </c>
      <c r="C21" s="30" t="n">
        <v>1.52</v>
      </c>
      <c r="D21" s="27" t="inlineStr">
        <is>
          <t>Deducido de Damodaran</t>
        </is>
      </c>
    </row>
    <row r="22">
      <c r="A22" s="25" t="inlineStr">
        <is>
          <t>CRP = EMBIG × ratio</t>
        </is>
      </c>
      <c r="C22" s="31">
        <f>Supuestos!$C$20*Supuestos!$C$21</f>
        <v/>
      </c>
      <c r="D22" s="27" t="inlineStr">
        <is>
          <t>Country Risk Premium (sobreescribible)</t>
        </is>
      </c>
    </row>
    <row r="23">
      <c r="A23" s="25" t="inlineStr">
        <is>
          <t>ERP mercado maduro</t>
        </is>
      </c>
      <c r="C23" s="29" t="n">
        <v>0.0423</v>
      </c>
      <c r="D23" s="27" t="inlineStr">
        <is>
          <t>Damodaran implied ERP jul-2026 (ctryprem.html); alternativa Kroll 5.0%</t>
        </is>
      </c>
    </row>
    <row r="24">
      <c r="A24" s="25" t="inlineStr">
        <is>
          <t>Beta desapalancado sectorial (βu)</t>
        </is>
      </c>
      <c r="C24" s="30" t="n">
        <v>1.3</v>
      </c>
      <c r="D24" s="27" t="inlineStr">
        <is>
          <t>Damodaran betaemerg.xls (Emerging Markets, ene-2026) · Industria: Metals &amp; Mining · editable</t>
        </is>
      </c>
    </row>
    <row r="25">
      <c r="A25" s="25" t="inlineStr">
        <is>
          <t>D/E contable de la empresa</t>
        </is>
      </c>
      <c r="C25" s="32">
        <f>(EEFF!J23+EEFF!J26)/EEFF!J30</f>
        <v/>
      </c>
      <c r="D25" s="27" t="inlineStr">
        <is>
          <t>Deuda financiera / patrimonio 2025 (fórmula viva a EEFF; sobreescribible)</t>
        </is>
      </c>
    </row>
    <row r="26">
      <c r="A26" s="25" t="inlineStr">
        <is>
          <t>Tasa IR estatutaria (Hamada, Kd)</t>
        </is>
      </c>
      <c r="C26" s="28" t="n">
        <v>0.295</v>
      </c>
      <c r="D26" s="27" t="inlineStr">
        <is>
          <t>Impuesto a la renta Perú 29.5%</t>
        </is>
      </c>
    </row>
    <row r="27">
      <c r="A27" s="25" t="inlineStr">
        <is>
          <t>Beta reapalancado (βL)</t>
        </is>
      </c>
      <c r="C27" s="32">
        <f>Supuestos!$C$24*(1+(1-Supuestos!$C$26)*Supuestos!$C$25)</f>
        <v/>
      </c>
      <c r="D27" s="27" t="inlineStr">
        <is>
          <t>Hamada: βL = βu × (1 + (1−t) × D/E) con D/E contable</t>
        </is>
      </c>
    </row>
    <row r="28">
      <c r="A28" s="25" t="inlineStr">
        <is>
          <t>Costo de la deuda (Kd)</t>
        </is>
      </c>
      <c r="C28" s="29" t="n">
        <v>0.1436814077018473</v>
      </c>
      <c r="D28" s="27" t="inlineStr">
        <is>
          <t>Default: |gastos financieros| / deuda financiera promedio (histórico)</t>
        </is>
      </c>
    </row>
    <row r="29">
      <c r="A29" s="25" t="inlineStr">
        <is>
          <t>COK en US$ = rf + βL×ERP + CRP</t>
        </is>
      </c>
      <c r="C29" s="31">
        <f>Supuestos!$C$19+Supuestos!$C$27*Supuestos!$C$23+Supuestos!$C$22</f>
        <v/>
      </c>
      <c r="D29" s="27" t="inlineStr">
        <is>
          <t>Costo de oportunidad del accionista en dólares</t>
        </is>
      </c>
    </row>
    <row r="30">
      <c r="A30" s="25" t="inlineStr">
        <is>
          <t>Inflación esperada S/</t>
        </is>
      </c>
      <c r="C30" s="28" t="n">
        <v>0.025</v>
      </c>
      <c r="D30" s="27" t="inlineStr">
        <is>
          <t>Diferencial esperado; editable</t>
        </is>
      </c>
    </row>
    <row r="31">
      <c r="A31" s="25" t="inlineStr">
        <is>
          <t>Inflación esperada US$</t>
        </is>
      </c>
      <c r="C31" s="28" t="n">
        <v>0.025</v>
      </c>
      <c r="D31" s="27" t="inlineStr">
        <is>
          <t>Diferencial esperado; editable</t>
        </is>
      </c>
    </row>
    <row r="32">
      <c r="A32" s="25" t="inlineStr">
        <is>
          <t>COK en S/ nominal</t>
        </is>
      </c>
      <c r="C32" s="31">
        <f>(1+Supuestos!$C$29)*(1+Supuestos!$C$30)/(1+Supuestos!$C$31)-1</f>
        <v/>
      </c>
      <c r="D32" s="27" t="inlineStr">
        <is>
          <t>(1+COK_US$)×(1+infl_S/)/(1+infl_US$) − 1</t>
        </is>
      </c>
    </row>
    <row r="33">
      <c r="A33" s="25" t="inlineStr">
        <is>
          <t>Ke = COK US$ (para FCFE y DDM)</t>
        </is>
      </c>
      <c r="C33" s="31">
        <f>Supuestos!$C$29</f>
        <v/>
      </c>
      <c r="D33" s="27" t="inlineStr">
        <is>
          <t>Costo del patrimonio en la moneda de los EEFF (Dólares)</t>
        </is>
      </c>
    </row>
    <row r="34">
      <c r="A34" s="25" t="inlineStr">
        <is>
          <t>Deuda financiera (D)</t>
        </is>
      </c>
      <c r="C34" s="12">
        <f>EEFF!J23+EEFF!J26</f>
        <v/>
      </c>
      <c r="D34" s="27" t="inlineStr">
        <is>
          <t>Deuda financiera total 2025 (fórmula viva a EEFF; contable)</t>
        </is>
      </c>
    </row>
    <row r="35">
      <c r="A35" s="25" t="inlineStr">
        <is>
          <t>Patrimonio (E contable)</t>
        </is>
      </c>
      <c r="C35" s="12">
        <f>EEFF!J30</f>
        <v/>
      </c>
      <c r="D35" s="27" t="inlineStr">
        <is>
          <t>Patrimonio 2025 (fórmula viva a EEFF)</t>
        </is>
      </c>
    </row>
    <row r="36">
      <c r="A36" s="25" t="inlineStr">
        <is>
          <t>Patrimonio a mercado (market cap)</t>
        </is>
      </c>
      <c r="C36" s="12">
        <f>Supuestos!$C$35</f>
        <v/>
      </c>
      <c r="D36" s="27" t="inlineStr">
        <is>
          <t>Sin precio de mercado: fallback al patrimonio contable</t>
        </is>
      </c>
    </row>
    <row r="37">
      <c r="A37" s="25" t="inlineStr">
        <is>
          <t>WACC</t>
        </is>
      </c>
      <c r="C37" s="31">
        <f>Supuestos!$C$33*Supuestos!$C$36/(Supuestos!$C$34+Supuestos!$C$36)+Supuestos!$C$28*(1-Supuestos!$C$26)*Supuestos!$C$34/(Supuestos!$C$34+Supuestos!$C$36)</f>
        <v/>
      </c>
      <c r="D37" s="27" t="inlineStr">
        <is>
          <t>Ke × E/(D+E) + Kd×(1−t) × D/(D+E), con E a mercado y D contable</t>
        </is>
      </c>
    </row>
    <row r="38">
      <c r="A38" s="25" t="inlineStr">
        <is>
          <t>Crecimiento terminal (g)</t>
        </is>
      </c>
      <c r="C38" s="28" t="n">
        <v>0.03</v>
      </c>
      <c r="D38" s="27" t="inlineStr">
        <is>
          <t>Default simple, revisar (FCFF/FCFE; el DDM usa g dividendos)</t>
        </is>
      </c>
    </row>
    <row r="40">
      <c r="A40" s="24" t="inlineStr">
        <is>
          <t>Mercado — acciones por clase y precios</t>
        </is>
      </c>
      <c r="B40" s="9" t="n"/>
      <c r="C40" s="9" t="n"/>
      <c r="D40" s="9" t="n"/>
    </row>
    <row r="41">
      <c r="A41" s="25" t="inlineStr">
        <is>
          <t>Tipo de cambio (S/ por US$)</t>
        </is>
      </c>
      <c r="C41" s="30" t="n">
        <v>3.7</v>
      </c>
      <c r="D41" s="27" t="inlineStr">
        <is>
          <t>Para convertir precios de mercado a la moneda de los EEFF (Dólares); editable</t>
        </is>
      </c>
    </row>
    <row r="42">
      <c r="A42" s="25" t="inlineStr">
        <is>
          <t>Precio acción común (moneda de cotización)</t>
        </is>
      </c>
      <c r="C42" s="30" t="n"/>
      <c r="D42" s="27" t="inlineStr">
        <is>
          <t>Sin dato automático (red/BVL); ingresar manualmente</t>
        </is>
      </c>
    </row>
    <row r="43">
      <c r="A43" s="25" t="inlineStr">
        <is>
          <t>Precio acción común en Dólares (EEFF)</t>
        </is>
      </c>
      <c r="C43" s="32" t="n"/>
      <c r="D43" s="27" t="inlineStr">
        <is>
          <t>Convertido con el tipo de cambio si la cotización es en otra moneda</t>
        </is>
      </c>
    </row>
    <row r="44">
      <c r="A44" s="25" t="inlineStr">
        <is>
          <t>Acciones comunes (miles)</t>
        </is>
      </c>
      <c r="C44" s="33" t="n">
        <v>3875867.924528302</v>
      </c>
      <c r="D44" s="27" t="inlineStr">
        <is>
          <t>Default: Utilidad neta / EPS básica 2025; editable</t>
        </is>
      </c>
    </row>
    <row r="45">
      <c r="A45" s="25" t="inlineStr">
        <is>
          <t>Acciones de inversión (miles)</t>
        </is>
      </c>
      <c r="C45" s="33" t="n"/>
      <c r="D45" s="27" t="inlineStr">
        <is>
          <t>Default: BVL listStock si hay dato; si no, balance (1D0703 a valor nominal); editable</t>
        </is>
      </c>
    </row>
    <row r="46">
      <c r="A46" s="25" t="inlineStr">
        <is>
          <t>(−) Acciones propias en cartera (miles)</t>
        </is>
      </c>
      <c r="C46" s="33" t="n">
        <v>0</v>
      </c>
      <c r="D46" s="27" t="inlineStr">
        <is>
          <t>Default: balance (1D0711 a valor nominal) cuando el conteo viene de BVL; 0 cuando viene de UN/EPS (la EPS ya es neta de cartera)</t>
        </is>
      </c>
    </row>
    <row r="47">
      <c r="A47" s="25" t="inlineStr">
        <is>
          <t>Precio acción de inversión</t>
        </is>
      </c>
      <c r="C47" s="30" t="n"/>
      <c r="D47" s="27" t="inlineStr">
        <is>
          <t>Sin dato automático; ingresar manualmente (si no aplica, dejar en 0)</t>
        </is>
      </c>
    </row>
    <row r="48">
      <c r="A48" s="25" t="inlineStr">
        <is>
          <t>Factor conversión inversión → común</t>
        </is>
      </c>
      <c r="C48" s="32" t="n">
        <v>1</v>
      </c>
      <c r="D48" s="27" t="inlineStr">
        <is>
          <t>precio_inversión / precio_común (ponderación por precio; fallback: ratio de valor nominal)</t>
        </is>
      </c>
    </row>
    <row r="49">
      <c r="A49" s="25" t="inlineStr">
        <is>
          <t>Acciones equivalentes (miles)</t>
        </is>
      </c>
      <c r="C49" s="12">
        <f>Supuestos!$C$44-Supuestos!$C$46+Supuestos!$C$45*Supuestos!$C$48</f>
        <v/>
      </c>
      <c r="D49" s="27">
        <f> comunes − cartera + inversión × factor (todo en equivalentes de la acción común)</f>
        <v/>
      </c>
    </row>
    <row r="50">
      <c r="A50" s="27" t="inlineStr">
        <is>
          <t>La historia de dividendos del EFE queda en la hoja EEFF como referencia. El valor nominal no siempre es S/1: revisar la memoria anual si el factor se calcula por nominales.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5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0" customWidth="1" min="1" max="1"/>
    <col width="2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</cols>
  <sheetData>
    <row r="1" ht="22" customHeight="1">
      <c r="A1" s="1" t="inlineStr">
        <is>
          <t>Valorización — VOLCAN COMPAÑIA MINERA S.A.A.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</row>
    <row r="2">
      <c r="A2" s="3" t="inlineStr">
        <is>
          <t>Cifras en miles de Dólares (precio por acción en Dólares). FCFF/FCFE descuentan al WACC/Ke; DDM al Ke.</t>
        </is>
      </c>
    </row>
    <row r="4">
      <c r="A4" s="8" t="inlineStr">
        <is>
          <t>FCFF — DCF EMPRESARIAL</t>
        </is>
      </c>
      <c r="B4" s="9" t="n"/>
      <c r="C4" s="9" t="n"/>
      <c r="D4" s="9" t="n"/>
      <c r="E4" s="9" t="n"/>
      <c r="F4" s="9" t="n"/>
      <c r="G4" s="9" t="n"/>
      <c r="H4" s="9" t="n"/>
      <c r="I4" s="9" t="n"/>
      <c r="J4" s="9" t="n"/>
      <c r="K4" s="9" t="n"/>
      <c r="L4" s="9" t="n"/>
    </row>
    <row r="5">
      <c r="A5" s="5" t="inlineStr">
        <is>
          <t>Año</t>
        </is>
      </c>
      <c r="B5" s="5" t="n"/>
      <c r="C5" s="7" t="n">
        <v>2026</v>
      </c>
      <c r="D5" s="7" t="n">
        <v>2027</v>
      </c>
      <c r="E5" s="7" t="n">
        <v>2028</v>
      </c>
      <c r="F5" s="7" t="n">
        <v>2029</v>
      </c>
      <c r="G5" s="7" t="n">
        <v>2030</v>
      </c>
      <c r="H5" s="7" t="n">
        <v>2031</v>
      </c>
      <c r="I5" s="7" t="n">
        <v>2032</v>
      </c>
      <c r="J5" s="7" t="n">
        <v>2033</v>
      </c>
      <c r="K5" s="7" t="n">
        <v>2034</v>
      </c>
      <c r="L5" s="7" t="n">
        <v>2035</v>
      </c>
    </row>
    <row r="6" ht="14" customHeight="1">
      <c r="A6" s="25" t="inlineStr">
        <is>
          <t>EBIT</t>
        </is>
      </c>
      <c r="C6" s="34">
        <f>EEFF!K11</f>
        <v/>
      </c>
      <c r="D6" s="34">
        <f>EEFF!L11</f>
        <v/>
      </c>
      <c r="E6" s="34">
        <f>EEFF!M11</f>
        <v/>
      </c>
      <c r="F6" s="34">
        <f>EEFF!N11</f>
        <v/>
      </c>
      <c r="G6" s="34">
        <f>EEFF!O11</f>
        <v/>
      </c>
      <c r="H6" s="34">
        <f>EEFF!P11</f>
        <v/>
      </c>
      <c r="I6" s="34">
        <f>EEFF!Q11</f>
        <v/>
      </c>
      <c r="J6" s="34">
        <f>EEFF!R11</f>
        <v/>
      </c>
      <c r="K6" s="34">
        <f>EEFF!S11</f>
        <v/>
      </c>
      <c r="L6" s="34">
        <f>EEFF!T11</f>
        <v/>
      </c>
    </row>
    <row r="7" ht="14" customHeight="1">
      <c r="A7" s="25" t="inlineStr">
        <is>
          <t>NOPAT = EBIT × (1 − tasa)</t>
        </is>
      </c>
      <c r="C7" s="12">
        <f>C6*(1-Supuestos!$C$13)</f>
        <v/>
      </c>
      <c r="D7" s="12">
        <f>D6*(1-Supuestos!$C$13)</f>
        <v/>
      </c>
      <c r="E7" s="12">
        <f>E6*(1-Supuestos!$C$13)</f>
        <v/>
      </c>
      <c r="F7" s="12">
        <f>F6*(1-Supuestos!$C$13)</f>
        <v/>
      </c>
      <c r="G7" s="12">
        <f>G6*(1-Supuestos!$C$13)</f>
        <v/>
      </c>
      <c r="H7" s="12">
        <f>H6*(1-Supuestos!$C$13)</f>
        <v/>
      </c>
      <c r="I7" s="12">
        <f>I6*(1-Supuestos!$C$13)</f>
        <v/>
      </c>
      <c r="J7" s="12">
        <f>J6*(1-Supuestos!$C$13)</f>
        <v/>
      </c>
      <c r="K7" s="12">
        <f>K6*(1-Supuestos!$C$13)</f>
        <v/>
      </c>
      <c r="L7" s="12">
        <f>L6*(1-Supuestos!$C$13)</f>
        <v/>
      </c>
    </row>
    <row r="8" ht="14" customHeight="1">
      <c r="A8" s="25" t="inlineStr">
        <is>
          <t>(+) D&amp;A</t>
        </is>
      </c>
      <c r="C8" s="34">
        <f>EEFF!K51</f>
        <v/>
      </c>
      <c r="D8" s="34">
        <f>EEFF!L51</f>
        <v/>
      </c>
      <c r="E8" s="34">
        <f>EEFF!M51</f>
        <v/>
      </c>
      <c r="F8" s="34">
        <f>EEFF!N51</f>
        <v/>
      </c>
      <c r="G8" s="34">
        <f>EEFF!O51</f>
        <v/>
      </c>
      <c r="H8" s="34">
        <f>EEFF!P51</f>
        <v/>
      </c>
      <c r="I8" s="34">
        <f>EEFF!Q51</f>
        <v/>
      </c>
      <c r="J8" s="34">
        <f>EEFF!R51</f>
        <v/>
      </c>
      <c r="K8" s="34">
        <f>EEFF!S51</f>
        <v/>
      </c>
      <c r="L8" s="34">
        <f>EEFF!T51</f>
        <v/>
      </c>
    </row>
    <row r="9" ht="14" customHeight="1">
      <c r="A9" s="25" t="inlineStr">
        <is>
          <t>(−) Capex</t>
        </is>
      </c>
      <c r="C9" s="34">
        <f>EEFF!K54</f>
        <v/>
      </c>
      <c r="D9" s="34">
        <f>EEFF!L54</f>
        <v/>
      </c>
      <c r="E9" s="34">
        <f>EEFF!M54</f>
        <v/>
      </c>
      <c r="F9" s="34">
        <f>EEFF!N54</f>
        <v/>
      </c>
      <c r="G9" s="34">
        <f>EEFF!O54</f>
        <v/>
      </c>
      <c r="H9" s="34">
        <f>EEFF!P54</f>
        <v/>
      </c>
      <c r="I9" s="34">
        <f>EEFF!Q54</f>
        <v/>
      </c>
      <c r="J9" s="34">
        <f>EEFF!R54</f>
        <v/>
      </c>
      <c r="K9" s="34">
        <f>EEFF!S54</f>
        <v/>
      </c>
      <c r="L9" s="34">
        <f>EEFF!T54</f>
        <v/>
      </c>
    </row>
    <row r="10" ht="14" customHeight="1">
      <c r="A10" s="25" t="inlineStr">
        <is>
          <t>(−) Δ Capital de Trabajo</t>
        </is>
      </c>
      <c r="C10" s="34">
        <f>-EEFF!K48</f>
        <v/>
      </c>
      <c r="D10" s="34">
        <f>-EEFF!L48</f>
        <v/>
      </c>
      <c r="E10" s="34">
        <f>-EEFF!M48</f>
        <v/>
      </c>
      <c r="F10" s="34">
        <f>-EEFF!N48</f>
        <v/>
      </c>
      <c r="G10" s="34">
        <f>-EEFF!O48</f>
        <v/>
      </c>
      <c r="H10" s="34">
        <f>-EEFF!P48</f>
        <v/>
      </c>
      <c r="I10" s="34">
        <f>-EEFF!Q48</f>
        <v/>
      </c>
      <c r="J10" s="34">
        <f>-EEFF!R48</f>
        <v/>
      </c>
      <c r="K10" s="34">
        <f>-EEFF!S48</f>
        <v/>
      </c>
      <c r="L10" s="34">
        <f>-EEFF!T48</f>
        <v/>
      </c>
    </row>
    <row r="11" ht="14" customHeight="1">
      <c r="A11" s="35" t="inlineStr">
        <is>
          <t>FCFF</t>
        </is>
      </c>
      <c r="C11" s="18">
        <f>SUM(C7:C10)</f>
        <v/>
      </c>
      <c r="D11" s="18">
        <f>SUM(D7:D10)</f>
        <v/>
      </c>
      <c r="E11" s="18">
        <f>SUM(E7:E10)</f>
        <v/>
      </c>
      <c r="F11" s="18">
        <f>SUM(F7:F10)</f>
        <v/>
      </c>
      <c r="G11" s="18">
        <f>SUM(G7:G10)</f>
        <v/>
      </c>
      <c r="H11" s="18">
        <f>SUM(H7:H10)</f>
        <v/>
      </c>
      <c r="I11" s="18">
        <f>SUM(I7:I10)</f>
        <v/>
      </c>
      <c r="J11" s="18">
        <f>SUM(J7:J10)</f>
        <v/>
      </c>
      <c r="K11" s="18">
        <f>SUM(K7:K10)</f>
        <v/>
      </c>
      <c r="L11" s="18">
        <f>SUM(L7:L10)</f>
        <v/>
      </c>
    </row>
    <row r="12" ht="14" customHeight="1">
      <c r="A12" s="25" t="inlineStr">
        <is>
          <t>Factor de descuento</t>
        </is>
      </c>
      <c r="C12" s="32">
        <f>1/(1+Supuestos!$C$37)^1</f>
        <v/>
      </c>
      <c r="D12" s="32">
        <f>1/(1+Supuestos!$C$37)^2</f>
        <v/>
      </c>
      <c r="E12" s="32">
        <f>1/(1+Supuestos!$C$37)^3</f>
        <v/>
      </c>
      <c r="F12" s="32">
        <f>1/(1+Supuestos!$C$37)^4</f>
        <v/>
      </c>
      <c r="G12" s="32">
        <f>1/(1+Supuestos!$C$37)^5</f>
        <v/>
      </c>
      <c r="H12" s="32">
        <f>1/(1+Supuestos!$C$37)^6</f>
        <v/>
      </c>
      <c r="I12" s="32">
        <f>1/(1+Supuestos!$C$37)^7</f>
        <v/>
      </c>
      <c r="J12" s="32">
        <f>1/(1+Supuestos!$C$37)^8</f>
        <v/>
      </c>
      <c r="K12" s="32">
        <f>1/(1+Supuestos!$C$37)^9</f>
        <v/>
      </c>
      <c r="L12" s="32">
        <f>1/(1+Supuestos!$C$37)^10</f>
        <v/>
      </c>
    </row>
    <row r="13" ht="14" customHeight="1">
      <c r="A13" s="25" t="inlineStr">
        <is>
          <t>PV del FCFF</t>
        </is>
      </c>
      <c r="C13" s="12">
        <f>C11*C12</f>
        <v/>
      </c>
      <c r="D13" s="12">
        <f>D11*D12</f>
        <v/>
      </c>
      <c r="E13" s="12">
        <f>E11*E12</f>
        <v/>
      </c>
      <c r="F13" s="12">
        <f>F11*F12</f>
        <v/>
      </c>
      <c r="G13" s="12">
        <f>G11*G12</f>
        <v/>
      </c>
      <c r="H13" s="12">
        <f>H11*H12</f>
        <v/>
      </c>
      <c r="I13" s="12">
        <f>I11*I12</f>
        <v/>
      </c>
      <c r="J13" s="12">
        <f>J11*J12</f>
        <v/>
      </c>
      <c r="K13" s="12">
        <f>K11*K12</f>
        <v/>
      </c>
      <c r="L13" s="12">
        <f>L11*L12</f>
        <v/>
      </c>
    </row>
    <row r="15" ht="14" customHeight="1">
      <c r="A15" s="25" t="inlineStr">
        <is>
          <t>Suma PV FCFF 2026-2035</t>
        </is>
      </c>
      <c r="C15" s="12">
        <f>SUM(C13:L13)</f>
        <v/>
      </c>
    </row>
    <row r="16" ht="14" customHeight="1">
      <c r="A16" s="25" t="inlineStr">
        <is>
          <t>Valor terminal (Gordon)</t>
        </is>
      </c>
      <c r="C16" s="12">
        <f>L11*(1+Supuestos!$C$38)/(Supuestos!$C$37-Supuestos!$C$38)</f>
        <v/>
      </c>
    </row>
    <row r="17" ht="14" customHeight="1">
      <c r="A17" s="25" t="inlineStr">
        <is>
          <t>PV del valor terminal</t>
        </is>
      </c>
      <c r="C17" s="12">
        <f>C16*L12</f>
        <v/>
      </c>
    </row>
    <row r="18" ht="14" customHeight="1">
      <c r="A18" s="35" t="inlineStr">
        <is>
          <t>Valor de la empresa (EV)</t>
        </is>
      </c>
      <c r="C18" s="18">
        <f>C15+C17</f>
        <v/>
      </c>
    </row>
    <row r="19" ht="14" customHeight="1">
      <c r="A19" s="25" t="inlineStr">
        <is>
          <t>(−) Deuda neta 2025</t>
        </is>
      </c>
      <c r="C19" s="12">
        <f>EEFF!J23+EEFF!J26-EEFF!J18</f>
        <v/>
      </c>
    </row>
    <row r="20" ht="14" customHeight="1">
      <c r="A20" s="35" t="inlineStr">
        <is>
          <t>Valor del patrimonio (equity)</t>
        </is>
      </c>
      <c r="C20" s="18">
        <f>C18-C19</f>
        <v/>
      </c>
    </row>
    <row r="21" ht="14" customHeight="1">
      <c r="A21" s="35" t="inlineStr">
        <is>
          <t>Precio implícito por acción (FCFF)</t>
        </is>
      </c>
      <c r="C21" s="36">
        <f>C20/Supuestos!$C$49</f>
        <v/>
      </c>
    </row>
    <row r="23">
      <c r="A23" s="8" t="inlineStr">
        <is>
          <t>FCFE — DCF PATRIMONIAL</t>
        </is>
      </c>
      <c r="B23" s="9" t="n"/>
      <c r="C23" s="9" t="n"/>
      <c r="D23" s="9" t="n"/>
      <c r="E23" s="9" t="n"/>
      <c r="F23" s="9" t="n"/>
      <c r="G23" s="9" t="n"/>
      <c r="H23" s="9" t="n"/>
      <c r="I23" s="9" t="n"/>
      <c r="J23" s="9" t="n"/>
      <c r="K23" s="9" t="n"/>
      <c r="L23" s="9" t="n"/>
    </row>
    <row r="24">
      <c r="A24" s="5" t="inlineStr">
        <is>
          <t>Año</t>
        </is>
      </c>
      <c r="B24" s="5" t="n"/>
      <c r="C24" s="7" t="n">
        <v>2026</v>
      </c>
      <c r="D24" s="7" t="n">
        <v>2027</v>
      </c>
      <c r="E24" s="7" t="n">
        <v>2028</v>
      </c>
      <c r="F24" s="7" t="n">
        <v>2029</v>
      </c>
      <c r="G24" s="7" t="n">
        <v>2030</v>
      </c>
      <c r="H24" s="7" t="n">
        <v>2031</v>
      </c>
      <c r="I24" s="7" t="n">
        <v>2032</v>
      </c>
      <c r="J24" s="7" t="n">
        <v>2033</v>
      </c>
      <c r="K24" s="7" t="n">
        <v>2034</v>
      </c>
      <c r="L24" s="7" t="n">
        <v>2035</v>
      </c>
    </row>
    <row r="25" ht="14" customHeight="1">
      <c r="A25" s="25" t="inlineStr">
        <is>
          <t>Utilidad neta</t>
        </is>
      </c>
      <c r="C25" s="34">
        <f>EEFF!K15</f>
        <v/>
      </c>
      <c r="D25" s="34">
        <f>EEFF!L15</f>
        <v/>
      </c>
      <c r="E25" s="34">
        <f>EEFF!M15</f>
        <v/>
      </c>
      <c r="F25" s="34">
        <f>EEFF!N15</f>
        <v/>
      </c>
      <c r="G25" s="34">
        <f>EEFF!O15</f>
        <v/>
      </c>
      <c r="H25" s="34">
        <f>EEFF!P15</f>
        <v/>
      </c>
      <c r="I25" s="34">
        <f>EEFF!Q15</f>
        <v/>
      </c>
      <c r="J25" s="34">
        <f>EEFF!R15</f>
        <v/>
      </c>
      <c r="K25" s="34">
        <f>EEFF!S15</f>
        <v/>
      </c>
      <c r="L25" s="34">
        <f>EEFF!T15</f>
        <v/>
      </c>
    </row>
    <row r="26" ht="14" customHeight="1">
      <c r="A26" s="25" t="inlineStr">
        <is>
          <t>(+) D&amp;A</t>
        </is>
      </c>
      <c r="C26" s="34">
        <f>EEFF!K51</f>
        <v/>
      </c>
      <c r="D26" s="34">
        <f>EEFF!L51</f>
        <v/>
      </c>
      <c r="E26" s="34">
        <f>EEFF!M51</f>
        <v/>
      </c>
      <c r="F26" s="34">
        <f>EEFF!N51</f>
        <v/>
      </c>
      <c r="G26" s="34">
        <f>EEFF!O51</f>
        <v/>
      </c>
      <c r="H26" s="34">
        <f>EEFF!P51</f>
        <v/>
      </c>
      <c r="I26" s="34">
        <f>EEFF!Q51</f>
        <v/>
      </c>
      <c r="J26" s="34">
        <f>EEFF!R51</f>
        <v/>
      </c>
      <c r="K26" s="34">
        <f>EEFF!S51</f>
        <v/>
      </c>
      <c r="L26" s="34">
        <f>EEFF!T51</f>
        <v/>
      </c>
    </row>
    <row r="27" ht="14" customHeight="1">
      <c r="A27" s="25" t="inlineStr">
        <is>
          <t>(−) Capex</t>
        </is>
      </c>
      <c r="C27" s="34">
        <f>EEFF!K54</f>
        <v/>
      </c>
      <c r="D27" s="34">
        <f>EEFF!L54</f>
        <v/>
      </c>
      <c r="E27" s="34">
        <f>EEFF!M54</f>
        <v/>
      </c>
      <c r="F27" s="34">
        <f>EEFF!N54</f>
        <v/>
      </c>
      <c r="G27" s="34">
        <f>EEFF!O54</f>
        <v/>
      </c>
      <c r="H27" s="34">
        <f>EEFF!P54</f>
        <v/>
      </c>
      <c r="I27" s="34">
        <f>EEFF!Q54</f>
        <v/>
      </c>
      <c r="J27" s="34">
        <f>EEFF!R54</f>
        <v/>
      </c>
      <c r="K27" s="34">
        <f>EEFF!S54</f>
        <v/>
      </c>
      <c r="L27" s="34">
        <f>EEFF!T54</f>
        <v/>
      </c>
    </row>
    <row r="28" ht="14" customHeight="1">
      <c r="A28" s="25" t="inlineStr">
        <is>
          <t>(−) Δ Capital de Trabajo</t>
        </is>
      </c>
      <c r="C28" s="34">
        <f>-EEFF!K48</f>
        <v/>
      </c>
      <c r="D28" s="34">
        <f>-EEFF!L48</f>
        <v/>
      </c>
      <c r="E28" s="34">
        <f>-EEFF!M48</f>
        <v/>
      </c>
      <c r="F28" s="34">
        <f>-EEFF!N48</f>
        <v/>
      </c>
      <c r="G28" s="34">
        <f>-EEFF!O48</f>
        <v/>
      </c>
      <c r="H28" s="34">
        <f>-EEFF!P48</f>
        <v/>
      </c>
      <c r="I28" s="34">
        <f>-EEFF!Q48</f>
        <v/>
      </c>
      <c r="J28" s="34">
        <f>-EEFF!R48</f>
        <v/>
      </c>
      <c r="K28" s="34">
        <f>-EEFF!S48</f>
        <v/>
      </c>
      <c r="L28" s="34">
        <f>-EEFF!T48</f>
        <v/>
      </c>
    </row>
    <row r="29" ht="14" customHeight="1">
      <c r="A29" s="25" t="inlineStr">
        <is>
          <t>(+) Δ Deuda neta</t>
        </is>
      </c>
      <c r="C29" s="34">
        <f>EEFF!K57</f>
        <v/>
      </c>
      <c r="D29" s="34">
        <f>EEFF!L57</f>
        <v/>
      </c>
      <c r="E29" s="34">
        <f>EEFF!M57</f>
        <v/>
      </c>
      <c r="F29" s="34">
        <f>EEFF!N57</f>
        <v/>
      </c>
      <c r="G29" s="34">
        <f>EEFF!O57</f>
        <v/>
      </c>
      <c r="H29" s="34">
        <f>EEFF!P57</f>
        <v/>
      </c>
      <c r="I29" s="34">
        <f>EEFF!Q57</f>
        <v/>
      </c>
      <c r="J29" s="34">
        <f>EEFF!R57</f>
        <v/>
      </c>
      <c r="K29" s="34">
        <f>EEFF!S57</f>
        <v/>
      </c>
      <c r="L29" s="34">
        <f>EEFF!T57</f>
        <v/>
      </c>
    </row>
    <row r="30" ht="14" customHeight="1">
      <c r="A30" s="35" t="inlineStr">
        <is>
          <t>FCFE</t>
        </is>
      </c>
      <c r="C30" s="18">
        <f>SUM(C25:C29)</f>
        <v/>
      </c>
      <c r="D30" s="18">
        <f>SUM(D25:D29)</f>
        <v/>
      </c>
      <c r="E30" s="18">
        <f>SUM(E25:E29)</f>
        <v/>
      </c>
      <c r="F30" s="18">
        <f>SUM(F25:F29)</f>
        <v/>
      </c>
      <c r="G30" s="18">
        <f>SUM(G25:G29)</f>
        <v/>
      </c>
      <c r="H30" s="18">
        <f>SUM(H25:H29)</f>
        <v/>
      </c>
      <c r="I30" s="18">
        <f>SUM(I25:I29)</f>
        <v/>
      </c>
      <c r="J30" s="18">
        <f>SUM(J25:J29)</f>
        <v/>
      </c>
      <c r="K30" s="18">
        <f>SUM(K25:K29)</f>
        <v/>
      </c>
      <c r="L30" s="18">
        <f>SUM(L25:L29)</f>
        <v/>
      </c>
    </row>
    <row r="31" ht="14" customHeight="1">
      <c r="A31" s="25" t="inlineStr">
        <is>
          <t>Factor de descuento</t>
        </is>
      </c>
      <c r="C31" s="32">
        <f>1/(1+Supuestos!$C$33)^1</f>
        <v/>
      </c>
      <c r="D31" s="32">
        <f>1/(1+Supuestos!$C$33)^2</f>
        <v/>
      </c>
      <c r="E31" s="32">
        <f>1/(1+Supuestos!$C$33)^3</f>
        <v/>
      </c>
      <c r="F31" s="32">
        <f>1/(1+Supuestos!$C$33)^4</f>
        <v/>
      </c>
      <c r="G31" s="32">
        <f>1/(1+Supuestos!$C$33)^5</f>
        <v/>
      </c>
      <c r="H31" s="32">
        <f>1/(1+Supuestos!$C$33)^6</f>
        <v/>
      </c>
      <c r="I31" s="32">
        <f>1/(1+Supuestos!$C$33)^7</f>
        <v/>
      </c>
      <c r="J31" s="32">
        <f>1/(1+Supuestos!$C$33)^8</f>
        <v/>
      </c>
      <c r="K31" s="32">
        <f>1/(1+Supuestos!$C$33)^9</f>
        <v/>
      </c>
      <c r="L31" s="32">
        <f>1/(1+Supuestos!$C$33)^10</f>
        <v/>
      </c>
    </row>
    <row r="32" ht="14" customHeight="1">
      <c r="A32" s="25" t="inlineStr">
        <is>
          <t>PV del FCFE</t>
        </is>
      </c>
      <c r="C32" s="12">
        <f>C30*C31</f>
        <v/>
      </c>
      <c r="D32" s="12">
        <f>D30*D31</f>
        <v/>
      </c>
      <c r="E32" s="12">
        <f>E30*E31</f>
        <v/>
      </c>
      <c r="F32" s="12">
        <f>F30*F31</f>
        <v/>
      </c>
      <c r="G32" s="12">
        <f>G30*G31</f>
        <v/>
      </c>
      <c r="H32" s="12">
        <f>H30*H31</f>
        <v/>
      </c>
      <c r="I32" s="12">
        <f>I30*I31</f>
        <v/>
      </c>
      <c r="J32" s="12">
        <f>J30*J31</f>
        <v/>
      </c>
      <c r="K32" s="12">
        <f>K30*K31</f>
        <v/>
      </c>
      <c r="L32" s="12">
        <f>L30*L31</f>
        <v/>
      </c>
    </row>
    <row r="34" ht="14" customHeight="1">
      <c r="A34" s="25" t="inlineStr">
        <is>
          <t>Suma PV FCFE 2026-2035</t>
        </is>
      </c>
      <c r="C34" s="12">
        <f>SUM(C32:L32)</f>
        <v/>
      </c>
    </row>
    <row r="35" ht="14" customHeight="1">
      <c r="A35" s="25" t="inlineStr">
        <is>
          <t>Valor terminal (Gordon)</t>
        </is>
      </c>
      <c r="C35" s="12">
        <f>L30*(1+Supuestos!$C$38)/(Supuestos!$C$33-Supuestos!$C$38)</f>
        <v/>
      </c>
    </row>
    <row r="36" ht="14" customHeight="1">
      <c r="A36" s="25" t="inlineStr">
        <is>
          <t>PV del valor terminal</t>
        </is>
      </c>
      <c r="C36" s="12">
        <f>C35*L31</f>
        <v/>
      </c>
    </row>
    <row r="37" ht="14" customHeight="1">
      <c r="A37" s="35" t="inlineStr">
        <is>
          <t>Valor del patrimonio (equity)</t>
        </is>
      </c>
      <c r="C37" s="18">
        <f>C34+C36</f>
        <v/>
      </c>
    </row>
    <row r="38" ht="14" customHeight="1">
      <c r="A38" s="35" t="inlineStr">
        <is>
          <t>Precio implícito por acción (FCFE)</t>
        </is>
      </c>
      <c r="C38" s="36">
        <f>C37/Supuestos!$C$49</f>
        <v/>
      </c>
    </row>
    <row r="40">
      <c r="A40" s="8" t="inlineStr">
        <is>
          <t>DDM — MODELO DE GORDON</t>
        </is>
      </c>
      <c r="B40" s="9" t="n"/>
      <c r="C40" s="9" t="n"/>
      <c r="D40" s="9" t="n"/>
      <c r="E40" s="9" t="n"/>
      <c r="F40" s="9" t="n"/>
      <c r="G40" s="9" t="n"/>
      <c r="H40" s="9" t="n"/>
      <c r="I40" s="9" t="n"/>
      <c r="J40" s="9" t="n"/>
      <c r="K40" s="9" t="n"/>
      <c r="L40" s="9" t="n"/>
    </row>
    <row r="41">
      <c r="A41" s="5" t="inlineStr">
        <is>
          <t>Año</t>
        </is>
      </c>
      <c r="B41" s="5" t="n"/>
      <c r="C41" s="7" t="n">
        <v>2026</v>
      </c>
      <c r="D41" s="7" t="n">
        <v>2027</v>
      </c>
      <c r="E41" s="7" t="n">
        <v>2028</v>
      </c>
      <c r="F41" s="7" t="n">
        <v>2029</v>
      </c>
      <c r="G41" s="7" t="n">
        <v>2030</v>
      </c>
      <c r="H41" s="7" t="n">
        <v>2031</v>
      </c>
      <c r="I41" s="7" t="n">
        <v>2032</v>
      </c>
      <c r="J41" s="7" t="n">
        <v>2033</v>
      </c>
      <c r="K41" s="7" t="n">
        <v>2034</v>
      </c>
      <c r="L41" s="7" t="n">
        <v>2035</v>
      </c>
    </row>
    <row r="42" ht="14" customHeight="1">
      <c r="A42" s="25" t="inlineStr">
        <is>
          <t>Dividendos</t>
        </is>
      </c>
      <c r="C42" s="34">
        <f>-EEFF!K56</f>
        <v/>
      </c>
      <c r="D42" s="34">
        <f>-EEFF!L56</f>
        <v/>
      </c>
      <c r="E42" s="34">
        <f>-EEFF!M56</f>
        <v/>
      </c>
      <c r="F42" s="34">
        <f>-EEFF!N56</f>
        <v/>
      </c>
      <c r="G42" s="34">
        <f>-EEFF!O56</f>
        <v/>
      </c>
      <c r="H42" s="34">
        <f>-EEFF!P56</f>
        <v/>
      </c>
      <c r="I42" s="34">
        <f>-EEFF!Q56</f>
        <v/>
      </c>
      <c r="J42" s="34">
        <f>-EEFF!R56</f>
        <v/>
      </c>
      <c r="K42" s="34">
        <f>-EEFF!S56</f>
        <v/>
      </c>
      <c r="L42" s="34">
        <f>-EEFF!T56</f>
        <v/>
      </c>
    </row>
    <row r="43" ht="14" customHeight="1">
      <c r="A43" s="35" t="inlineStr">
        <is>
          <t>Dividendos</t>
        </is>
      </c>
      <c r="C43" s="18">
        <f>SUM(C42:C42)</f>
        <v/>
      </c>
      <c r="D43" s="18">
        <f>SUM(D42:D42)</f>
        <v/>
      </c>
      <c r="E43" s="18">
        <f>SUM(E42:E42)</f>
        <v/>
      </c>
      <c r="F43" s="18">
        <f>SUM(F42:F42)</f>
        <v/>
      </c>
      <c r="G43" s="18">
        <f>SUM(G42:G42)</f>
        <v/>
      </c>
      <c r="H43" s="18">
        <f>SUM(H42:H42)</f>
        <v/>
      </c>
      <c r="I43" s="18">
        <f>SUM(I42:I42)</f>
        <v/>
      </c>
      <c r="J43" s="18">
        <f>SUM(J42:J42)</f>
        <v/>
      </c>
      <c r="K43" s="18">
        <f>SUM(K42:K42)</f>
        <v/>
      </c>
      <c r="L43" s="18">
        <f>SUM(L42:L42)</f>
        <v/>
      </c>
    </row>
    <row r="44" ht="14" customHeight="1">
      <c r="A44" s="25" t="inlineStr">
        <is>
          <t>Factor de descuento</t>
        </is>
      </c>
      <c r="C44" s="32">
        <f>1/(1+Supuestos!$C$33)^1</f>
        <v/>
      </c>
      <c r="D44" s="32">
        <f>1/(1+Supuestos!$C$33)^2</f>
        <v/>
      </c>
      <c r="E44" s="32">
        <f>1/(1+Supuestos!$C$33)^3</f>
        <v/>
      </c>
      <c r="F44" s="32">
        <f>1/(1+Supuestos!$C$33)^4</f>
        <v/>
      </c>
      <c r="G44" s="32">
        <f>1/(1+Supuestos!$C$33)^5</f>
        <v/>
      </c>
      <c r="H44" s="32">
        <f>1/(1+Supuestos!$C$33)^6</f>
        <v/>
      </c>
      <c r="I44" s="32">
        <f>1/(1+Supuestos!$C$33)^7</f>
        <v/>
      </c>
      <c r="J44" s="32">
        <f>1/(1+Supuestos!$C$33)^8</f>
        <v/>
      </c>
      <c r="K44" s="32">
        <f>1/(1+Supuestos!$C$33)^9</f>
        <v/>
      </c>
      <c r="L44" s="32">
        <f>1/(1+Supuestos!$C$33)^10</f>
        <v/>
      </c>
    </row>
    <row r="45" ht="14" customHeight="1">
      <c r="A45" s="25" t="inlineStr">
        <is>
          <t>PV del dividendos</t>
        </is>
      </c>
      <c r="C45" s="12">
        <f>C43*C44</f>
        <v/>
      </c>
      <c r="D45" s="12">
        <f>D43*D44</f>
        <v/>
      </c>
      <c r="E45" s="12">
        <f>E43*E44</f>
        <v/>
      </c>
      <c r="F45" s="12">
        <f>F43*F44</f>
        <v/>
      </c>
      <c r="G45" s="12">
        <f>G43*G44</f>
        <v/>
      </c>
      <c r="H45" s="12">
        <f>H43*H44</f>
        <v/>
      </c>
      <c r="I45" s="12">
        <f>I43*I44</f>
        <v/>
      </c>
      <c r="J45" s="12">
        <f>J43*J44</f>
        <v/>
      </c>
      <c r="K45" s="12">
        <f>K43*K44</f>
        <v/>
      </c>
      <c r="L45" s="12">
        <f>L43*L44</f>
        <v/>
      </c>
    </row>
    <row r="47" ht="14" customHeight="1">
      <c r="A47" s="25" t="inlineStr">
        <is>
          <t>Suma PV dividendos 2026-2035</t>
        </is>
      </c>
      <c r="C47" s="12">
        <f>SUM(C45:L45)</f>
        <v/>
      </c>
    </row>
    <row r="48" ht="14" customHeight="1">
      <c r="A48" s="25" t="inlineStr">
        <is>
          <t>Valor terminal (Gordon)</t>
        </is>
      </c>
      <c r="C48" s="12">
        <f>L43*(1+Supuestos!$C$16)/(Supuestos!$C$33-Supuestos!$C$16)</f>
        <v/>
      </c>
    </row>
    <row r="49" ht="14" customHeight="1">
      <c r="A49" s="25" t="inlineStr">
        <is>
          <t>PV del valor terminal</t>
        </is>
      </c>
      <c r="C49" s="12">
        <f>C48*L44</f>
        <v/>
      </c>
    </row>
    <row r="50" ht="14" customHeight="1">
      <c r="A50" s="35" t="inlineStr">
        <is>
          <t>Valor del patrimonio (equity)</t>
        </is>
      </c>
      <c r="C50" s="18">
        <f>C47+C49</f>
        <v/>
      </c>
    </row>
    <row r="51" ht="14" customHeight="1">
      <c r="A51" s="35" t="inlineStr">
        <is>
          <t>Precio implícito por acción (dividendos)</t>
        </is>
      </c>
      <c r="C51" s="36">
        <f>C50/Supuestos!$C$49</f>
        <v/>
      </c>
    </row>
    <row r="54">
      <c r="A54" s="8" t="inlineStr">
        <is>
          <t>RESUMEN — PRECIO IMPLÍCITO VS MERCADO</t>
        </is>
      </c>
      <c r="B54" s="9" t="n"/>
      <c r="C54" s="9" t="n"/>
      <c r="D54" s="9" t="n"/>
      <c r="E54" s="9" t="n"/>
      <c r="F54" s="9" t="n"/>
      <c r="G54" s="9" t="n"/>
      <c r="H54" s="9" t="n"/>
      <c r="I54" s="9" t="n"/>
      <c r="J54" s="9" t="n"/>
      <c r="K54" s="9" t="n"/>
      <c r="L54" s="9" t="n"/>
    </row>
    <row r="55">
      <c r="A55" s="5" t="inlineStr">
        <is>
          <t>Modelo</t>
        </is>
      </c>
      <c r="B55" s="5" t="n"/>
      <c r="C55" s="6" t="inlineStr">
        <is>
          <t>Precio implícito</t>
        </is>
      </c>
      <c r="D55" s="6" t="inlineStr">
        <is>
          <t>Precio mercado</t>
        </is>
      </c>
      <c r="E55" s="6" t="inlineStr">
        <is>
          <t>Upside vs mercado</t>
        </is>
      </c>
    </row>
    <row r="56" ht="14" customHeight="1">
      <c r="A56" s="25" t="inlineStr">
        <is>
          <t>FCFF (DCF empresarial)</t>
        </is>
      </c>
      <c r="C56" s="37">
        <f>C21</f>
        <v/>
      </c>
      <c r="D56" s="37">
        <f>Supuestos!$C$43</f>
        <v/>
      </c>
      <c r="E56" s="26">
        <f>C21/Supuestos!$C$43-1</f>
        <v/>
      </c>
    </row>
    <row r="57" ht="14" customHeight="1">
      <c r="A57" s="25" t="inlineStr">
        <is>
          <t>FCFE (DCF patrimonial)</t>
        </is>
      </c>
      <c r="C57" s="37">
        <f>C38</f>
        <v/>
      </c>
      <c r="D57" s="37">
        <f>Supuestos!$C$43</f>
        <v/>
      </c>
      <c r="E57" s="26">
        <f>C38/Supuestos!$C$43-1</f>
        <v/>
      </c>
    </row>
    <row r="58" ht="14" customHeight="1">
      <c r="A58" s="25" t="inlineStr">
        <is>
          <t>DDM (Gordon)</t>
        </is>
      </c>
      <c r="C58" s="37">
        <f>C51</f>
        <v/>
      </c>
      <c r="D58" s="37">
        <f>Supuestos!$C$43</f>
        <v/>
      </c>
      <c r="E58" s="26">
        <f>C51/Supuestos!$C$43-1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2026-08-23T13:15:13Z</dcterms:created>
  <dcterms:modified xmlns:dcterms="http://purl.org/dc/terms/" xmlns:xsi="http://www.w3.org/2001/XMLSchema-instance" xsi:type="dcterms:W3CDTF">2026-08-23T13:15:13Z</dcterms:modified>
</cp:coreProperties>
</file>