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4" borderId="0" applyAlignment="1" pivotButton="0" quotePrefix="0" xfId="0">
      <alignment horizontal="right" vertical="center"/>
    </xf>
    <xf numFmtId="3" fontId="4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7" fillId="5" borderId="0" applyAlignment="1" pivotButton="0" quotePrefix="0" xfId="0">
      <alignment horizontal="right" vertical="center"/>
    </xf>
    <xf numFmtId="10" fontId="7" fillId="5" borderId="0" applyAlignment="1" pivotButton="0" quotePrefix="0" xfId="0">
      <alignment horizontal="right" vertical="center"/>
    </xf>
    <xf numFmtId="4" fontId="7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7" fillId="5" borderId="0" applyAlignment="1" pivotButton="0" quotePrefix="0" xfId="0">
      <alignment horizontal="right" vertical="center"/>
    </xf>
    <xf numFmtId="3" fontId="8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right" vertical="center"/>
    </xf>
    <xf numFmtId="4" fontId="8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1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INTERCORP FINANCIAL SERVICES INC. · Cifras en miles de Soles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4649848</v>
      </c>
      <c r="D6" s="11" t="n">
        <v>5267849</v>
      </c>
      <c r="E6" s="11" t="n">
        <v>5179948</v>
      </c>
      <c r="F6" s="11" t="n">
        <v>5250892</v>
      </c>
      <c r="G6" s="11" t="n">
        <v>6539499</v>
      </c>
      <c r="H6" s="11" t="n">
        <v>7841047</v>
      </c>
      <c r="I6" s="11" t="n">
        <v>7798149</v>
      </c>
      <c r="J6" s="11" t="n">
        <v>8012743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Resultado de Operación</t>
        </is>
      </c>
      <c r="C7" s="14" t="n">
        <v>1506909</v>
      </c>
      <c r="D7" s="14" t="n">
        <v>1943441</v>
      </c>
      <c r="E7" s="14" t="n">
        <v>310616</v>
      </c>
      <c r="F7" s="14" t="n">
        <v>2302291</v>
      </c>
      <c r="G7" s="14" t="n">
        <v>2133194</v>
      </c>
      <c r="H7" s="14" t="n">
        <v>1354872</v>
      </c>
      <c r="I7" s="14" t="n">
        <v>1621826</v>
      </c>
      <c r="J7" s="14" t="n">
        <v>2473447</v>
      </c>
      <c r="K7" s="15" t="n"/>
      <c r="L7" s="15" t="n"/>
      <c r="M7" s="15" t="n"/>
      <c r="N7" s="15" t="n"/>
      <c r="O7" s="15" t="n"/>
      <c r="P7" s="15" t="n"/>
      <c r="Q7" s="15" t="n"/>
      <c r="R7" s="15" t="n"/>
      <c r="S7" s="15" t="n"/>
      <c r="T7" s="15" t="n"/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</row>
    <row r="8" ht="14" customHeight="1">
      <c r="A8" s="10" t="inlineStr">
        <is>
          <t>Gasto por Impuesto a las Ganancias</t>
        </is>
      </c>
      <c r="C8" s="11" t="n">
        <v>-415515</v>
      </c>
      <c r="D8" s="11" t="n">
        <v>-493326</v>
      </c>
      <c r="E8" s="11" t="n">
        <v>72933</v>
      </c>
      <c r="F8" s="11" t="n">
        <v>-502112</v>
      </c>
      <c r="G8" s="11" t="n">
        <v>-462537</v>
      </c>
      <c r="H8" s="11" t="n">
        <v>-275596</v>
      </c>
      <c r="I8" s="11" t="n">
        <v>-314365</v>
      </c>
      <c r="J8" s="11" t="n">
        <v>-530252</v>
      </c>
      <c r="K8" s="17" t="n"/>
      <c r="L8" s="17" t="n"/>
      <c r="M8" s="17" t="n"/>
      <c r="N8" s="17" t="n"/>
      <c r="O8" s="17" t="n"/>
      <c r="P8" s="17" t="n"/>
      <c r="Q8" s="17" t="n"/>
      <c r="R8" s="17" t="n"/>
      <c r="S8" s="17" t="n"/>
      <c r="T8" s="17" t="n"/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</row>
    <row r="9" ht="14" customHeight="1">
      <c r="A9" s="18" t="inlineStr">
        <is>
          <t>Resultado Neto del Ejercicio</t>
        </is>
      </c>
      <c r="C9" s="19" t="n">
        <v>1091394</v>
      </c>
      <c r="D9" s="19" t="n">
        <v>1450115</v>
      </c>
      <c r="E9" s="19" t="n">
        <v>383549</v>
      </c>
      <c r="F9" s="19" t="n">
        <v>1800179</v>
      </c>
      <c r="G9" s="19" t="n">
        <v>1670657</v>
      </c>
      <c r="H9" s="19" t="n">
        <v>1079276</v>
      </c>
      <c r="I9" s="19" t="n">
        <v>1307461</v>
      </c>
      <c r="J9" s="19" t="n">
        <v>1943195</v>
      </c>
      <c r="K9" s="19">
        <f>J9*(1+Supuestos!$C$7)</f>
        <v/>
      </c>
      <c r="L9" s="19">
        <f>K9*(1+Supuestos!$C$7)</f>
        <v/>
      </c>
      <c r="M9" s="19">
        <f>L9*(1+Supuestos!$C$7)</f>
        <v/>
      </c>
      <c r="N9" s="19">
        <f>M9*(1+Supuestos!$C$7)</f>
        <v/>
      </c>
      <c r="O9" s="19">
        <f>N9*(1+Supuestos!$C$7)</f>
        <v/>
      </c>
      <c r="P9" s="19">
        <f>O9*(1+Supuestos!$C$7)</f>
        <v/>
      </c>
      <c r="Q9" s="19">
        <f>P9*(1+Supuestos!$C$7)</f>
        <v/>
      </c>
      <c r="R9" s="19">
        <f>Q9*(1+Supuestos!$C$7)</f>
        <v/>
      </c>
      <c r="S9" s="19">
        <f>R9*(1+Supuestos!$C$7)</f>
        <v/>
      </c>
      <c r="T9" s="19">
        <f>S9*(1+Supuestos!$C$7)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1" ht="16" customHeight="1">
      <c r="A11" s="8" t="inlineStr">
        <is>
          <t>BALANCE GENERAL (proyección: solo patrimonio)</t>
        </is>
      </c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9" t="n"/>
      <c r="Z11" s="9" t="n"/>
      <c r="AA11" s="9" t="n"/>
      <c r="AB11" s="9" t="n"/>
      <c r="AC11" s="9" t="n"/>
      <c r="AD11" s="9" t="n"/>
      <c r="AE11" s="9" t="n"/>
      <c r="AF11" s="9" t="n"/>
      <c r="AG11" s="9" t="n"/>
      <c r="AH11" s="9" t="n"/>
      <c r="AI11" s="9" t="n"/>
      <c r="AJ11" s="9" t="n"/>
      <c r="AK11" s="9" t="n"/>
      <c r="AL11" s="9" t="n"/>
      <c r="AM11" s="9" t="n"/>
    </row>
    <row r="12" ht="14" customHeight="1">
      <c r="A12" s="18" t="inlineStr">
        <is>
          <t>TOTAL ACTIVO</t>
        </is>
      </c>
      <c r="C12" s="20" t="n">
        <v>63744409</v>
      </c>
      <c r="D12" s="20" t="n">
        <v>71562293</v>
      </c>
      <c r="E12" s="20" t="n">
        <v>88236029</v>
      </c>
      <c r="F12" s="20" t="n">
        <v>89953909</v>
      </c>
      <c r="G12" s="20" t="n">
        <v>87482632</v>
      </c>
      <c r="H12" s="20" t="n">
        <v>89624779</v>
      </c>
      <c r="I12" s="20" t="n">
        <v>95503781</v>
      </c>
      <c r="J12" s="20" t="n">
        <v>99097427</v>
      </c>
      <c r="K12" s="17" t="n"/>
      <c r="L12" s="17" t="n"/>
      <c r="M12" s="17" t="n"/>
      <c r="N12" s="17" t="n"/>
      <c r="O12" s="17" t="n"/>
      <c r="P12" s="17" t="n"/>
      <c r="Q12" s="17" t="n"/>
      <c r="R12" s="17" t="n"/>
      <c r="S12" s="17" t="n"/>
      <c r="T12" s="17" t="n"/>
      <c r="V12" s="13">
        <f>C12/C12</f>
        <v/>
      </c>
      <c r="W12" s="13">
        <f>D12/D12</f>
        <v/>
      </c>
      <c r="X12" s="13">
        <f>E12/E12</f>
        <v/>
      </c>
      <c r="Y12" s="13">
        <f>F12/F12</f>
        <v/>
      </c>
      <c r="Z12" s="13">
        <f>G12/G12</f>
        <v/>
      </c>
      <c r="AA12" s="13">
        <f>H12/H12</f>
        <v/>
      </c>
      <c r="AB12" s="13">
        <f>I12/I12</f>
        <v/>
      </c>
      <c r="AC12" s="13">
        <f>J12/J12</f>
        <v/>
      </c>
    </row>
    <row r="13" ht="14" customHeight="1">
      <c r="A13" s="18" t="inlineStr">
        <is>
          <t>TOTAL PASIVO</t>
        </is>
      </c>
      <c r="C13" s="19" t="n">
        <v>56655933</v>
      </c>
      <c r="D13" s="19" t="n">
        <v>62658845</v>
      </c>
      <c r="E13" s="19" t="n">
        <v>79282080</v>
      </c>
      <c r="F13" s="19" t="n">
        <v>80398547</v>
      </c>
      <c r="G13" s="19" t="n">
        <v>77436681</v>
      </c>
      <c r="H13" s="19" t="n">
        <v>79616678</v>
      </c>
      <c r="I13" s="19" t="n">
        <v>84525186</v>
      </c>
      <c r="J13" s="19" t="n">
        <v>86675583</v>
      </c>
      <c r="K13" s="15" t="n"/>
      <c r="L13" s="15" t="n"/>
      <c r="M13" s="15" t="n"/>
      <c r="N13" s="15" t="n"/>
      <c r="O13" s="15" t="n"/>
      <c r="P13" s="15" t="n"/>
      <c r="Q13" s="15" t="n"/>
      <c r="R13" s="15" t="n"/>
      <c r="S13" s="15" t="n"/>
      <c r="T13" s="15" t="n"/>
      <c r="V13" s="16">
        <f>C13/C12</f>
        <v/>
      </c>
      <c r="W13" s="16">
        <f>D13/D12</f>
        <v/>
      </c>
      <c r="X13" s="16">
        <f>E13/E12</f>
        <v/>
      </c>
      <c r="Y13" s="16">
        <f>F13/F12</f>
        <v/>
      </c>
      <c r="Z13" s="16">
        <f>G13/G12</f>
        <v/>
      </c>
      <c r="AA13" s="16">
        <f>H13/H12</f>
        <v/>
      </c>
      <c r="AB13" s="16">
        <f>I13/I12</f>
        <v/>
      </c>
      <c r="AC13" s="16">
        <f>J13/J12</f>
        <v/>
      </c>
    </row>
    <row r="14" ht="14" customHeight="1">
      <c r="A14" s="18" t="inlineStr">
        <is>
          <t>TOTAL PATRIMONIO</t>
        </is>
      </c>
      <c r="C14" s="20" t="n">
        <v>7088476</v>
      </c>
      <c r="D14" s="20" t="n">
        <v>8903448</v>
      </c>
      <c r="E14" s="20" t="n">
        <v>8953949</v>
      </c>
      <c r="F14" s="20" t="n">
        <v>9555362</v>
      </c>
      <c r="G14" s="20" t="n">
        <v>10045951</v>
      </c>
      <c r="H14" s="20" t="n">
        <v>10008101</v>
      </c>
      <c r="I14" s="20" t="n">
        <v>10978595</v>
      </c>
      <c r="J14" s="20" t="n">
        <v>12421844</v>
      </c>
      <c r="K14" s="20">
        <f>J14+K9*(1-Supuestos!$C$14)</f>
        <v/>
      </c>
      <c r="L14" s="20">
        <f>K14+L9*(1-Supuestos!$C$14)</f>
        <v/>
      </c>
      <c r="M14" s="20">
        <f>L14+M9*(1-Supuestos!$C$14)</f>
        <v/>
      </c>
      <c r="N14" s="20">
        <f>M14+N9*(1-Supuestos!$C$14)</f>
        <v/>
      </c>
      <c r="O14" s="20">
        <f>N14+O9*(1-Supuestos!$C$14)</f>
        <v/>
      </c>
      <c r="P14" s="20">
        <f>O14+P9*(1-Supuestos!$C$14)</f>
        <v/>
      </c>
      <c r="Q14" s="20">
        <f>P14+Q9*(1-Supuestos!$C$14)</f>
        <v/>
      </c>
      <c r="R14" s="20">
        <f>Q14+R9*(1-Supuestos!$C$14)</f>
        <v/>
      </c>
      <c r="S14" s="20">
        <f>R14+S9*(1-Supuestos!$C$14)</f>
        <v/>
      </c>
      <c r="T14" s="20">
        <f>S14+T9*(1-Supuestos!$C$14)</f>
        <v/>
      </c>
      <c r="V14" s="13">
        <f>C14/C12</f>
        <v/>
      </c>
      <c r="W14" s="13">
        <f>D14/D12</f>
        <v/>
      </c>
      <c r="X14" s="13">
        <f>E14/E12</f>
        <v/>
      </c>
      <c r="Y14" s="13">
        <f>F14/F12</f>
        <v/>
      </c>
      <c r="Z14" s="13">
        <f>G14/G12</f>
        <v/>
      </c>
      <c r="AA14" s="13">
        <f>H14/H12</f>
        <v/>
      </c>
      <c r="AB14" s="13">
        <f>I14/I12</f>
        <v/>
      </c>
      <c r="AC14" s="13">
        <f>J14/J12</f>
        <v/>
      </c>
      <c r="AD14" s="13">
        <f>K14/K12</f>
        <v/>
      </c>
      <c r="AE14" s="13">
        <f>L14/L12</f>
        <v/>
      </c>
      <c r="AF14" s="13">
        <f>M14/M12</f>
        <v/>
      </c>
      <c r="AG14" s="13">
        <f>N14/N12</f>
        <v/>
      </c>
      <c r="AH14" s="13">
        <f>O14/O12</f>
        <v/>
      </c>
      <c r="AI14" s="13">
        <f>P14/P12</f>
        <v/>
      </c>
      <c r="AJ14" s="13">
        <f>Q14/Q12</f>
        <v/>
      </c>
      <c r="AK14" s="13">
        <f>R14/R12</f>
        <v/>
      </c>
      <c r="AL14" s="13">
        <f>S14/S12</f>
        <v/>
      </c>
      <c r="AM14" s="13">
        <f>T14/T12</f>
        <v/>
      </c>
    </row>
    <row r="15">
      <c r="A15" s="3" t="inlineStr">
        <is>
          <t>Empresa financiera: proyección de FCFF/FCFE no aplica (capex y capital de trabajo no son separables del negocio). Solo se proyecta lo necesario para el DDM.</t>
        </is>
      </c>
    </row>
    <row r="17" ht="16" customHeight="1">
      <c r="A17" s="8" t="inlineStr">
        <is>
          <t>FLUJO DE EFECTIVO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Dividendos Pagados</t>
        </is>
      </c>
      <c r="C18" s="14" t="n">
        <v>-513657</v>
      </c>
      <c r="D18" s="14" t="n">
        <v>-657709</v>
      </c>
      <c r="E18" s="14" t="n">
        <v>-700430</v>
      </c>
      <c r="F18" s="14" t="n">
        <v>-633883</v>
      </c>
      <c r="G18" s="14" t="n">
        <v>-755706</v>
      </c>
      <c r="H18" s="14" t="n">
        <v>-516564</v>
      </c>
      <c r="I18" s="14" t="n">
        <v>-430280</v>
      </c>
      <c r="J18" s="14" t="n">
        <v>-406958</v>
      </c>
      <c r="K18" s="15" t="n"/>
      <c r="L18" s="15" t="n"/>
      <c r="M18" s="15" t="n"/>
      <c r="N18" s="15" t="n"/>
      <c r="O18" s="15" t="n"/>
      <c r="P18" s="15" t="n"/>
      <c r="Q18" s="15" t="n"/>
      <c r="R18" s="15" t="n"/>
      <c r="S18" s="15" t="n"/>
      <c r="T18" s="15" t="n"/>
    </row>
    <row r="19" ht="14" customHeight="1">
      <c r="A19" s="10" t="inlineStr">
        <is>
          <t>Dividendos Pagados (proyección)</t>
        </is>
      </c>
      <c r="C19" s="17" t="n"/>
      <c r="D19" s="17" t="n"/>
      <c r="E19" s="17" t="n"/>
      <c r="F19" s="17" t="n"/>
      <c r="G19" s="17" t="n"/>
      <c r="H19" s="17" t="n"/>
      <c r="I19" s="17" t="n"/>
      <c r="J19" s="17" t="n"/>
      <c r="K19" s="12">
        <f>-Supuestos!$C$14*K9</f>
        <v/>
      </c>
      <c r="L19" s="12">
        <f>-Supuestos!$C$14*L9</f>
        <v/>
      </c>
      <c r="M19" s="12">
        <f>-Supuestos!$C$14*M9</f>
        <v/>
      </c>
      <c r="N19" s="12">
        <f>-Supuestos!$C$14*N9</f>
        <v/>
      </c>
      <c r="O19" s="12">
        <f>-Supuestos!$C$14*O9</f>
        <v/>
      </c>
      <c r="P19" s="12">
        <f>-Supuestos!$C$14*P9</f>
        <v/>
      </c>
      <c r="Q19" s="12">
        <f>-Supuestos!$C$14*Q9</f>
        <v/>
      </c>
      <c r="R19" s="12">
        <f>-Supuestos!$C$14*R9</f>
        <v/>
      </c>
      <c r="S19" s="12">
        <f>-Supuestos!$C$14*S9</f>
        <v/>
      </c>
      <c r="T19" s="12">
        <f>-Supuestos!$C$14*T9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INTERCORP FINANCIAL SERVICES INC.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1" t="n"/>
      <c r="C4" s="6" t="inlineStr">
        <is>
          <t>Valor</t>
        </is>
      </c>
      <c r="D4" s="5" t="inlineStr">
        <is>
          <t>Nota / fuente</t>
        </is>
      </c>
    </row>
    <row r="6">
      <c r="A6" s="22" t="inlineStr">
        <is>
          <t>Operativos</t>
        </is>
      </c>
      <c r="B6" s="9" t="n"/>
      <c r="C6" s="9" t="n"/>
      <c r="D6" s="9" t="n"/>
    </row>
    <row r="7">
      <c r="A7" s="23" t="inlineStr">
        <is>
          <t>Crecimiento de ventas (g)</t>
        </is>
      </c>
      <c r="C7" s="24">
        <f>MAX(-0.15,MIN(0.25,(EEFF!J6/EEFF!C6)^(1/7)-1))</f>
        <v/>
      </c>
      <c r="D7" s="25" t="inlineStr">
        <is>
          <t>Fórmula viva: CAGR histórico de ventas (años disponibles), tope −15%/+25%; sobreescribible</t>
        </is>
      </c>
    </row>
    <row r="8">
      <c r="A8" s="23" t="inlineStr">
        <is>
          <t>Costo de ventas % de ventas</t>
        </is>
      </c>
      <c r="C8" s="24" t="n">
        <v>0.6</v>
      </c>
      <c r="D8" s="25" t="inlineStr">
        <is>
          <t>Fórmula viva: promedio histórico |costo| / ventas</t>
        </is>
      </c>
    </row>
    <row r="9">
      <c r="A9" s="23" t="inlineStr">
        <is>
          <t>Gastos adm. y ventas % de ventas</t>
        </is>
      </c>
      <c r="C9" s="24" t="n">
        <v>0.1</v>
      </c>
      <c r="D9" s="25" t="inlineStr">
        <is>
          <t>Fórmula viva: promedio histórico |gastos| / ventas</t>
        </is>
      </c>
    </row>
    <row r="10">
      <c r="A10" s="23" t="inlineStr">
        <is>
          <t>D&amp;A % de ventas</t>
        </is>
      </c>
      <c r="C10" s="26" t="n">
        <v>0</v>
      </c>
      <c r="D10" s="25" t="inlineStr">
        <is>
          <t>PENDIENTE: se completará desde memorias anuales (D&amp;A no viaja por la API SMV; está enterrada en costos/gastos). Default 0 — EBITDA ≈ EBIT hasta ingresar D&amp;A.</t>
        </is>
      </c>
    </row>
    <row r="11">
      <c r="A11" s="23" t="inlineStr">
        <is>
          <t>Capex % de ventas</t>
        </is>
      </c>
      <c r="C11" s="24" t="n">
        <v>0.03</v>
      </c>
      <c r="D11" s="25" t="inlineStr">
        <is>
          <t>Fórmula viva: promedio histórico |compras PPE + intangibles| / ventas</t>
        </is>
      </c>
    </row>
    <row r="12">
      <c r="A12" s="23" t="inlineStr">
        <is>
          <t>Δ Capital de trabajo % de ventas</t>
        </is>
      </c>
      <c r="C12" s="24" t="n">
        <v>0</v>
      </c>
      <c r="D12" s="25" t="inlineStr">
        <is>
          <t>Fórmula viva: promedio histórico ΔKW / ventas (años consecutivos)</t>
        </is>
      </c>
    </row>
    <row r="13">
      <c r="A13" s="23" t="inlineStr">
        <is>
          <t>Tasa impositiva efectiva (para proyección EGP)</t>
        </is>
      </c>
      <c r="C13" s="24" t="n">
        <v>0.295</v>
      </c>
      <c r="D13" s="25" t="inlineStr">
        <is>
          <t>Fórmula viva: promedio histórico |impuesto| / UAI, tope 0-50%</t>
        </is>
      </c>
    </row>
    <row r="14">
      <c r="A14" s="23" t="inlineStr">
        <is>
          <t>Payout de dividendos</t>
        </is>
      </c>
      <c r="C14" s="24">
        <f>MAX(0,MIN(1,AVERAGE(ABS(EEFF!C18)/EEFF!C9,ABS(EEFF!D18)/EEFF!D9,ABS(EEFF!E18)/EEFF!E9,ABS(EEFF!F18)/EEFF!F9,ABS(EEFF!G18)/EEFF!G9,ABS(EEFF!H18)/EEFF!H9,ABS(EEFF!I18)/EEFF!I9,ABS(EEFF!J18)/EEFF!J9)))</f>
        <v/>
      </c>
      <c r="D14" s="25" t="inlineStr">
        <is>
          <t>Fórmula viva: promedio histórico |dividendos| / utilidad neta</t>
        </is>
      </c>
    </row>
    <row r="15">
      <c r="A15" s="23" t="inlineStr">
        <is>
          <t>ROE promedio histórico</t>
        </is>
      </c>
      <c r="C15" s="24">
        <f>AVERAGE(EEFF!C9/EEFF!C14,EEFF!D9/EEFF!D14,EEFF!E9/EEFF!E14,EEFF!F9/EEFF!F14,EEFF!G9/EEFF!G14,EEFF!H9/EEFF!H14,EEFF!I9/EEFF!I14,EEFF!J9/EEFF!J14)</f>
        <v/>
      </c>
      <c r="D15" s="25" t="inlineStr">
        <is>
          <t>Fórmula viva: promedio histórico utilidad neta / patrimonio; insumo del g de dividendos (DDM)</t>
        </is>
      </c>
    </row>
    <row r="16">
      <c r="A16" s="23" t="inlineStr">
        <is>
          <t>g dividendos = ROE × (1 − payout)</t>
        </is>
      </c>
      <c r="C16" s="24">
        <f>Supuestos!$C$15*(1-Supuestos!$C$14)</f>
        <v/>
      </c>
      <c r="D16" s="25" t="inlineStr">
        <is>
          <t>Crecimiento fundamental de dividendos para el DDM (Gordon); sobreescribible</t>
        </is>
      </c>
    </row>
    <row r="18">
      <c r="A18" s="22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3" t="inlineStr">
        <is>
          <t>Tasa libre de riesgo (rf)</t>
        </is>
      </c>
      <c r="C19" s="27" t="n">
        <v>0.0455</v>
      </c>
      <c r="D19" s="25" t="inlineStr">
        <is>
          <t>US Treasury 10Y — fuente: investing.com (capturado 15-jul-2026)</t>
        </is>
      </c>
    </row>
    <row r="20">
      <c r="A20" s="23" t="inlineStr">
        <is>
          <t>EMBIG Perú (riesgo país)</t>
        </is>
      </c>
      <c r="C20" s="27" t="n">
        <v>0.0103</v>
      </c>
      <c r="D20" s="25" t="inlineStr">
        <is>
          <t>Fuente: BCRP serie PD04709XD (jul-2026)</t>
        </is>
      </c>
    </row>
    <row r="21">
      <c r="A21" s="23" t="inlineStr">
        <is>
          <t>Ratio σ acciones / σ bonos</t>
        </is>
      </c>
      <c r="C21" s="28" t="n">
        <v>1.52</v>
      </c>
      <c r="D21" s="25" t="inlineStr">
        <is>
          <t>Deducido de Damodaran</t>
        </is>
      </c>
    </row>
    <row r="22">
      <c r="A22" s="23" t="inlineStr">
        <is>
          <t>CRP = EMBIG × ratio</t>
        </is>
      </c>
      <c r="C22" s="29">
        <f>Supuestos!$C$20*Supuestos!$C$21</f>
        <v/>
      </c>
      <c r="D22" s="25" t="inlineStr">
        <is>
          <t>Country Risk Premium (sobreescribible)</t>
        </is>
      </c>
    </row>
    <row r="23">
      <c r="A23" s="23" t="inlineStr">
        <is>
          <t>ERP mercado maduro</t>
        </is>
      </c>
      <c r="C23" s="27" t="n">
        <v>0.0423</v>
      </c>
      <c r="D23" s="25" t="inlineStr">
        <is>
          <t>Damodaran implied ERP jul-2026 (ctryprem.html); alternativa Kroll 5.0%</t>
        </is>
      </c>
    </row>
    <row r="24">
      <c r="A24" s="23" t="inlineStr">
        <is>
          <t>Beta desapalancado sectorial (βu)</t>
        </is>
      </c>
      <c r="C24" s="28" t="n">
        <v>0.36</v>
      </c>
      <c r="D24" s="25" t="inlineStr">
        <is>
          <t>Damodaran betaemerg.xls (Emerging Markets, ene-2026) · Industria: Diversified · editable</t>
        </is>
      </c>
    </row>
    <row r="25">
      <c r="A25" s="23" t="inlineStr">
        <is>
          <t>D/E contable de la empresa</t>
        </is>
      </c>
      <c r="C25" s="30" t="n">
        <v>0</v>
      </c>
      <c r="D25" s="25" t="inlineStr">
        <is>
          <t>Financiera: no aplica, se deja en 0</t>
        </is>
      </c>
    </row>
    <row r="26">
      <c r="A26" s="23" t="inlineStr">
        <is>
          <t>Tasa IR estatutaria (Hamada, Kd)</t>
        </is>
      </c>
      <c r="C26" s="26" t="n">
        <v>0.295</v>
      </c>
      <c r="D26" s="25" t="inlineStr">
        <is>
          <t>Impuesto a la renta Perú 29.5%</t>
        </is>
      </c>
    </row>
    <row r="27">
      <c r="A27" s="23" t="inlineStr">
        <is>
          <t>Beta reapalancado (βL)</t>
        </is>
      </c>
      <c r="C27" s="30">
        <f>Supuestos!$C$24</f>
        <v/>
      </c>
      <c r="D27" s="25" t="inlineStr">
        <is>
          <t>Financiera: Hamada no aplica (la deuda es el negocio); βL = β directo de la industria</t>
        </is>
      </c>
    </row>
    <row r="28">
      <c r="A28" s="23" t="inlineStr">
        <is>
          <t>Costo de la deuda (Kd)</t>
        </is>
      </c>
      <c r="C28" s="27" t="n">
        <v>0.08</v>
      </c>
      <c r="D28" s="25" t="inlineStr">
        <is>
          <t>No calculable del histórico: default genérico 8%, revisar</t>
        </is>
      </c>
    </row>
    <row r="29">
      <c r="A29" s="23" t="inlineStr">
        <is>
          <t>COK en US$ = rf + βL×ERP + CRP</t>
        </is>
      </c>
      <c r="C29" s="29">
        <f>Supuestos!$C$19+Supuestos!$C$27*Supuestos!$C$23+Supuestos!$C$22</f>
        <v/>
      </c>
      <c r="D29" s="25" t="inlineStr">
        <is>
          <t>Costo de oportunidad del accionista en dólares</t>
        </is>
      </c>
    </row>
    <row r="30">
      <c r="A30" s="23" t="inlineStr">
        <is>
          <t>Inflación esperada S/</t>
        </is>
      </c>
      <c r="C30" s="26" t="n">
        <v>0.025</v>
      </c>
      <c r="D30" s="25" t="inlineStr">
        <is>
          <t>Diferencial esperado; editable</t>
        </is>
      </c>
    </row>
    <row r="31">
      <c r="A31" s="23" t="inlineStr">
        <is>
          <t>Inflación esperada US$</t>
        </is>
      </c>
      <c r="C31" s="26" t="n">
        <v>0.025</v>
      </c>
      <c r="D31" s="25" t="inlineStr">
        <is>
          <t>Diferencial esperado; editable</t>
        </is>
      </c>
    </row>
    <row r="32">
      <c r="A32" s="23" t="inlineStr">
        <is>
          <t>COK en S/ nominal</t>
        </is>
      </c>
      <c r="C32" s="29">
        <f>(1+Supuestos!$C$29)*(1+Supuestos!$C$30)/(1+Supuestos!$C$31)-1</f>
        <v/>
      </c>
      <c r="D32" s="25" t="inlineStr">
        <is>
          <t>(1+COK_US$)×(1+infl_S/)/(1+infl_US$) − 1</t>
        </is>
      </c>
    </row>
    <row r="33">
      <c r="A33" s="23" t="inlineStr">
        <is>
          <t>Ke = COK S/ (para FCFE y DDM)</t>
        </is>
      </c>
      <c r="C33" s="29">
        <f>Supuestos!$C$32</f>
        <v/>
      </c>
      <c r="D33" s="25" t="inlineStr">
        <is>
          <t>Costo del patrimonio en la moneda de los EEFF (Soles)</t>
        </is>
      </c>
    </row>
    <row r="34">
      <c r="A34" s="23" t="inlineStr">
        <is>
          <t>Deuda financiera (D)</t>
        </is>
      </c>
      <c r="C34" s="12" t="n">
        <v>0</v>
      </c>
      <c r="D34" s="25" t="inlineStr">
        <is>
          <t>Financiera: no aplica, se deja en 0</t>
        </is>
      </c>
    </row>
    <row r="35">
      <c r="A35" s="23" t="inlineStr">
        <is>
          <t>Patrimonio (E contable)</t>
        </is>
      </c>
      <c r="C35" s="12">
        <f>EEFF!J14</f>
        <v/>
      </c>
      <c r="D35" s="25" t="inlineStr">
        <is>
          <t>Patrimonio 2025 (fórmula viva a EEFF)</t>
        </is>
      </c>
    </row>
    <row r="36">
      <c r="A36" s="23" t="inlineStr">
        <is>
          <t>Patrimonio a mercado (market cap)</t>
        </is>
      </c>
      <c r="C36" s="12">
        <f>Supuestos!$C$43*Supuestos!$C$49</f>
        <v/>
      </c>
      <c r="D36" s="25" t="inlineStr">
        <is>
          <t>Market cap: precio convertido × acciones equivalentes</t>
        </is>
      </c>
    </row>
    <row r="37">
      <c r="A37" s="23" t="inlineStr">
        <is>
          <t>WACC</t>
        </is>
      </c>
      <c r="C37" s="29">
        <f>Supuestos!$C$33</f>
        <v/>
      </c>
      <c r="D37" s="25" t="inlineStr">
        <is>
          <t>Financiera: no se usa (solo DDM), se deja = Ke</t>
        </is>
      </c>
    </row>
    <row r="38">
      <c r="A38" s="23" t="inlineStr">
        <is>
          <t>Crecimiento terminal (g)</t>
        </is>
      </c>
      <c r="C38" s="26" t="n">
        <v>0.03</v>
      </c>
      <c r="D38" s="25" t="inlineStr">
        <is>
          <t>Default simple, revisar (FCFF/FCFE; el DDM usa g dividendos)</t>
        </is>
      </c>
    </row>
    <row r="40">
      <c r="A40" s="22" t="inlineStr">
        <is>
          <t>Mercado — acciones por clase y precios</t>
        </is>
      </c>
      <c r="B40" s="9" t="n"/>
      <c r="C40" s="9" t="n"/>
      <c r="D40" s="9" t="n"/>
    </row>
    <row r="41">
      <c r="A41" s="23" t="inlineStr">
        <is>
          <t>Tipo de cambio (S/ por US$)</t>
        </is>
      </c>
      <c r="C41" s="28" t="n">
        <v>3.7</v>
      </c>
      <c r="D41" s="25" t="inlineStr">
        <is>
          <t>Para convertir precios de mercado a la moneda de los EEFF (Soles); editable</t>
        </is>
      </c>
    </row>
    <row r="42">
      <c r="A42" s="23" t="inlineStr">
        <is>
          <t>Precio acción común (moneda de cotización)</t>
        </is>
      </c>
      <c r="C42" s="28" t="n">
        <v>55</v>
      </c>
      <c r="D42" s="25" t="inlineStr">
        <is>
          <t>Cierre BVL (IFS); editable</t>
        </is>
      </c>
    </row>
    <row r="43">
      <c r="A43" s="23" t="inlineStr">
        <is>
          <t>Precio acción común en Soles (EEFF)</t>
        </is>
      </c>
      <c r="C43" s="30">
        <f>Supuestos!$C$42*Supuestos!$C$41</f>
        <v/>
      </c>
      <c r="D43" s="25" t="inlineStr">
        <is>
          <t>Convertido con el tipo de cambio si la cotización es en otra moneda</t>
        </is>
      </c>
    </row>
    <row r="44">
      <c r="A44" s="23" t="inlineStr">
        <is>
          <t>Acciones comunes (miles)</t>
        </is>
      </c>
      <c r="C44" s="31" t="n">
        <v>115447.705</v>
      </c>
      <c r="D44" s="25" t="inlineStr">
        <is>
          <t>Default: BVL listStock (IFS); editable</t>
        </is>
      </c>
    </row>
    <row r="45">
      <c r="A45" s="23" t="inlineStr">
        <is>
          <t>Acciones de inversión (miles)</t>
        </is>
      </c>
      <c r="C45" s="31" t="n"/>
      <c r="D45" s="25" t="inlineStr">
        <is>
          <t>Default: BVL listStock si hay dato; si no, balance (1D0703 a valor nominal); editable</t>
        </is>
      </c>
    </row>
    <row r="46">
      <c r="A46" s="23" t="inlineStr">
        <is>
          <t>(−) Acciones propias en cartera (miles)</t>
        </is>
      </c>
      <c r="C46" s="31" t="n">
        <v>0</v>
      </c>
      <c r="D46" s="25" t="inlineStr">
        <is>
          <t>Default: balance (1D0711 a valor nominal) cuando el conteo viene de BVL; 0 cuando viene de UN/EPS (la EPS ya es neta de cartera)</t>
        </is>
      </c>
    </row>
    <row r="47">
      <c r="A47" s="23" t="inlineStr">
        <is>
          <t>Precio acción de inversión</t>
        </is>
      </c>
      <c r="C47" s="28" t="n"/>
      <c r="D47" s="25" t="inlineStr">
        <is>
          <t>Sin dato automático; ingresar manualmente (si no aplica, dejar en 0)</t>
        </is>
      </c>
    </row>
    <row r="48">
      <c r="A48" s="23" t="inlineStr">
        <is>
          <t>Factor conversión inversión → común</t>
        </is>
      </c>
      <c r="C48" s="30" t="n">
        <v>1</v>
      </c>
      <c r="D48" s="25" t="inlineStr">
        <is>
          <t>precio_inversión / precio_común (ponderación por precio; fallback: ratio de valor nominal)</t>
        </is>
      </c>
    </row>
    <row r="49">
      <c r="A49" s="23" t="inlineStr">
        <is>
          <t>Acciones equivalentes (miles)</t>
        </is>
      </c>
      <c r="C49" s="12">
        <f>Supuestos!$C$44-Supuestos!$C$46+Supuestos!$C$45*Supuestos!$C$48</f>
        <v/>
      </c>
      <c r="D49" s="25">
        <f> comunes − cartera + inversión × factor (todo en equivalentes de la acción común)</f>
        <v/>
      </c>
    </row>
    <row r="50">
      <c r="A50" s="25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INTERCORP FINANCIAL SERVICES INC.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Soles (precio por acción en Soles).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3" t="inlineStr">
        <is>
          <t>N/A — financiera (capex y capital de trabajo no son separables del negocio)</t>
        </is>
      </c>
    </row>
    <row r="7">
      <c r="A7" s="8" t="inlineStr">
        <is>
          <t>FCFE — DCF PATRIMONIAL</t>
        </is>
      </c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</row>
    <row r="8">
      <c r="A8" s="3" t="inlineStr">
        <is>
          <t>N/A — financiera (capex y capital de trabajo no son separables del negocio)</t>
        </is>
      </c>
    </row>
    <row r="10">
      <c r="A10" s="8" t="inlineStr">
        <is>
          <t>DDM — MODELO DE GORDON</t>
        </is>
      </c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</row>
    <row r="11">
      <c r="A11" s="5" t="inlineStr">
        <is>
          <t>Año</t>
        </is>
      </c>
      <c r="B11" s="5" t="n"/>
      <c r="C11" s="7" t="n">
        <v>2026</v>
      </c>
      <c r="D11" s="7" t="n">
        <v>2027</v>
      </c>
      <c r="E11" s="7" t="n">
        <v>2028</v>
      </c>
      <c r="F11" s="7" t="n">
        <v>2029</v>
      </c>
      <c r="G11" s="7" t="n">
        <v>2030</v>
      </c>
      <c r="H11" s="7" t="n">
        <v>2031</v>
      </c>
      <c r="I11" s="7" t="n">
        <v>2032</v>
      </c>
      <c r="J11" s="7" t="n">
        <v>2033</v>
      </c>
      <c r="K11" s="7" t="n">
        <v>2034</v>
      </c>
      <c r="L11" s="7" t="n">
        <v>2035</v>
      </c>
    </row>
    <row r="12" ht="14" customHeight="1">
      <c r="A12" s="23" t="inlineStr">
        <is>
          <t>Dividendos</t>
        </is>
      </c>
      <c r="C12" s="32">
        <f>-EEFF!K19</f>
        <v/>
      </c>
      <c r="D12" s="32">
        <f>-EEFF!L19</f>
        <v/>
      </c>
      <c r="E12" s="32">
        <f>-EEFF!M19</f>
        <v/>
      </c>
      <c r="F12" s="32">
        <f>-EEFF!N19</f>
        <v/>
      </c>
      <c r="G12" s="32">
        <f>-EEFF!O19</f>
        <v/>
      </c>
      <c r="H12" s="32">
        <f>-EEFF!P19</f>
        <v/>
      </c>
      <c r="I12" s="32">
        <f>-EEFF!Q19</f>
        <v/>
      </c>
      <c r="J12" s="32">
        <f>-EEFF!R19</f>
        <v/>
      </c>
      <c r="K12" s="32">
        <f>-EEFF!S19</f>
        <v/>
      </c>
      <c r="L12" s="32">
        <f>-EEFF!T19</f>
        <v/>
      </c>
    </row>
    <row r="13" ht="14" customHeight="1">
      <c r="A13" s="33" t="inlineStr">
        <is>
          <t>Dividendos</t>
        </is>
      </c>
      <c r="C13" s="20">
        <f>SUM(C12:C12)</f>
        <v/>
      </c>
      <c r="D13" s="20">
        <f>SUM(D12:D12)</f>
        <v/>
      </c>
      <c r="E13" s="20">
        <f>SUM(E12:E12)</f>
        <v/>
      </c>
      <c r="F13" s="20">
        <f>SUM(F12:F12)</f>
        <v/>
      </c>
      <c r="G13" s="20">
        <f>SUM(G12:G12)</f>
        <v/>
      </c>
      <c r="H13" s="20">
        <f>SUM(H12:H12)</f>
        <v/>
      </c>
      <c r="I13" s="20">
        <f>SUM(I12:I12)</f>
        <v/>
      </c>
      <c r="J13" s="20">
        <f>SUM(J12:J12)</f>
        <v/>
      </c>
      <c r="K13" s="20">
        <f>SUM(K12:K12)</f>
        <v/>
      </c>
      <c r="L13" s="20">
        <f>SUM(L12:L12)</f>
        <v/>
      </c>
    </row>
    <row r="14" ht="14" customHeight="1">
      <c r="A14" s="23" t="inlineStr">
        <is>
          <t>Factor de descuento</t>
        </is>
      </c>
      <c r="C14" s="30">
        <f>1/(1+Supuestos!$C$33)^1</f>
        <v/>
      </c>
      <c r="D14" s="30">
        <f>1/(1+Supuestos!$C$33)^2</f>
        <v/>
      </c>
      <c r="E14" s="30">
        <f>1/(1+Supuestos!$C$33)^3</f>
        <v/>
      </c>
      <c r="F14" s="30">
        <f>1/(1+Supuestos!$C$33)^4</f>
        <v/>
      </c>
      <c r="G14" s="30">
        <f>1/(1+Supuestos!$C$33)^5</f>
        <v/>
      </c>
      <c r="H14" s="30">
        <f>1/(1+Supuestos!$C$33)^6</f>
        <v/>
      </c>
      <c r="I14" s="30">
        <f>1/(1+Supuestos!$C$33)^7</f>
        <v/>
      </c>
      <c r="J14" s="30">
        <f>1/(1+Supuestos!$C$33)^8</f>
        <v/>
      </c>
      <c r="K14" s="30">
        <f>1/(1+Supuestos!$C$33)^9</f>
        <v/>
      </c>
      <c r="L14" s="30">
        <f>1/(1+Supuestos!$C$33)^10</f>
        <v/>
      </c>
    </row>
    <row r="15" ht="14" customHeight="1">
      <c r="A15" s="23" t="inlineStr">
        <is>
          <t>PV del dividendos</t>
        </is>
      </c>
      <c r="C15" s="12">
        <f>C13*C14</f>
        <v/>
      </c>
      <c r="D15" s="12">
        <f>D13*D14</f>
        <v/>
      </c>
      <c r="E15" s="12">
        <f>E13*E14</f>
        <v/>
      </c>
      <c r="F15" s="12">
        <f>F13*F14</f>
        <v/>
      </c>
      <c r="G15" s="12">
        <f>G13*G14</f>
        <v/>
      </c>
      <c r="H15" s="12">
        <f>H13*H14</f>
        <v/>
      </c>
      <c r="I15" s="12">
        <f>I13*I14</f>
        <v/>
      </c>
      <c r="J15" s="12">
        <f>J13*J14</f>
        <v/>
      </c>
      <c r="K15" s="12">
        <f>K13*K14</f>
        <v/>
      </c>
      <c r="L15" s="12">
        <f>L13*L14</f>
        <v/>
      </c>
    </row>
    <row r="17" ht="14" customHeight="1">
      <c r="A17" s="23" t="inlineStr">
        <is>
          <t>Suma PV dividendos 2026-2035</t>
        </is>
      </c>
      <c r="C17" s="12">
        <f>SUM(C15:L15)</f>
        <v/>
      </c>
    </row>
    <row r="18" ht="14" customHeight="1">
      <c r="A18" s="23" t="inlineStr">
        <is>
          <t>Valor terminal (Gordon)</t>
        </is>
      </c>
      <c r="C18" s="12">
        <f>L13*(1+Supuestos!$C$16)/(Supuestos!$C$33-Supuestos!$C$16)</f>
        <v/>
      </c>
    </row>
    <row r="19" ht="14" customHeight="1">
      <c r="A19" s="23" t="inlineStr">
        <is>
          <t>PV del valor terminal</t>
        </is>
      </c>
      <c r="C19" s="12">
        <f>C18*L14</f>
        <v/>
      </c>
    </row>
    <row r="20" ht="14" customHeight="1">
      <c r="A20" s="33" t="inlineStr">
        <is>
          <t>Valor del patrimonio (equity)</t>
        </is>
      </c>
      <c r="C20" s="20">
        <f>C17+C19</f>
        <v/>
      </c>
    </row>
    <row r="21" ht="14" customHeight="1">
      <c r="A21" s="33" t="inlineStr">
        <is>
          <t>Precio implícito por acción (dividendos)</t>
        </is>
      </c>
      <c r="C21" s="34">
        <f>C20/Supuestos!$C$49</f>
        <v/>
      </c>
    </row>
    <row r="24">
      <c r="A24" s="8" t="inlineStr">
        <is>
          <t>RESUMEN — PRECIO IMPLÍCITO VS MERCADO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</row>
    <row r="25">
      <c r="A25" s="5" t="inlineStr">
        <is>
          <t>Modelo</t>
        </is>
      </c>
      <c r="B25" s="5" t="n"/>
      <c r="C25" s="6" t="inlineStr">
        <is>
          <t>Precio implícito</t>
        </is>
      </c>
      <c r="D25" s="6" t="inlineStr">
        <is>
          <t>Precio mercado</t>
        </is>
      </c>
      <c r="E25" s="6" t="inlineStr">
        <is>
          <t>Upside vs mercado</t>
        </is>
      </c>
    </row>
    <row r="26" ht="14" customHeight="1">
      <c r="A26" s="23" t="inlineStr">
        <is>
          <t>FCFF (DCF empresarial)</t>
        </is>
      </c>
      <c r="C26" s="35" t="inlineStr">
        <is>
          <t>N/A — financiera</t>
        </is>
      </c>
      <c r="D26" s="36">
        <f>Supuestos!$C$43</f>
        <v/>
      </c>
    </row>
    <row r="27" ht="14" customHeight="1">
      <c r="A27" s="23" t="inlineStr">
        <is>
          <t>FCFE (DCF patrimonial)</t>
        </is>
      </c>
      <c r="C27" s="35" t="inlineStr">
        <is>
          <t>N/A — financiera</t>
        </is>
      </c>
      <c r="D27" s="36">
        <f>Supuestos!$C$43</f>
        <v/>
      </c>
    </row>
    <row r="28" ht="14" customHeight="1">
      <c r="A28" s="23" t="inlineStr">
        <is>
          <t>DDM (Gordon)</t>
        </is>
      </c>
      <c r="C28" s="36">
        <f>C21</f>
        <v/>
      </c>
      <c r="D28" s="36">
        <f>Supuestos!$C$43</f>
        <v/>
      </c>
      <c r="E28" s="24">
        <f>C21/Supuestos!$C$43-1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2026-08-24T04:52:15Z</dcterms:created>
  <dcterms:modified xmlns:dcterms="http://purl.org/dc/terms/" xmlns:xsi="http://www.w3.org/2001/XMLSchema-instance" xsi:type="dcterms:W3CDTF">2026-08-24T04:52:15Z</dcterms:modified>
</cp:coreProperties>
</file>